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venues (Sales)" sheetId="2" r:id="rId1"/>
    <sheet name="Cost of Sales" sheetId="3" r:id="rId2"/>
    <sheet name="Expenses" sheetId="4" r:id="rId3"/>
  </sheets>
  <definedNames>
    <definedName name="Company_Name">'Revenues (Sales)'!$B$1</definedName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'Revenues (Sales)'!$F$2</definedName>
    <definedName name="FYStartYear">'Revenues (Sales)'!$G$2</definedName>
    <definedName name="_xlnm.Print_Titles" localSheetId="1">'Cost of Sales'!$5:$6</definedName>
    <definedName name="_xlnm.Print_Titles" localSheetId="2">Expenses!$5:$6</definedName>
    <definedName name="_xlnm.Print_Titles" localSheetId="0">'Revenues (Sales)'!$5:$6</definedName>
    <definedName name="Projection_Period_Title">'Revenues (Sales)'!$B$2</definedName>
    <definedName name="Title1">Revenue[[#Headers],[REVENUES (SALES)]]</definedName>
    <definedName name="Title2">CostofSales[[#Headers],[COST OF SALES]]</definedName>
    <definedName name="Title3">tblExpenses[[#Headers],[EXPENSES]]</definedName>
    <definedName name="Wksht_Title">'Revenues (Sales)'!$B$3</definedName>
  </definedNames>
  <calcPr calcId="144525"/>
</workbook>
</file>

<file path=xl/sharedStrings.xml><?xml version="1.0" encoding="utf-8"?>
<sst xmlns="http://schemas.openxmlformats.org/spreadsheetml/2006/main" count="161" uniqueCount="78">
  <si>
    <t>Company Name</t>
  </si>
  <si>
    <t>Twelve Month</t>
  </si>
  <si>
    <t>Fiscal Year Begins:</t>
  </si>
  <si>
    <t>JAN</t>
  </si>
  <si>
    <t>Profit &amp; Loss Projection</t>
  </si>
  <si>
    <t>YEARLY</t>
  </si>
  <si>
    <t>IND %</t>
  </si>
  <si>
    <t>YEAR %</t>
  </si>
  <si>
    <t>REVENUES (SALES)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</si>
  <si>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</si>
  <si>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</si>
  <si>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</si>
  <si>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</si>
  <si>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</si>
  <si>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</si>
  <si>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</si>
  <si>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</si>
  <si>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</si>
  <si>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</si>
  <si>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</si>
  <si>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</si>
  <si>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</si>
  <si>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</t>
  </si>
  <si>
    <t>Index %</t>
  </si>
  <si>
    <t>Jan %</t>
  </si>
  <si>
    <t>Feb %</t>
  </si>
  <si>
    <t>Mar %</t>
  </si>
  <si>
    <t>Apr %</t>
  </si>
  <si>
    <t>May %</t>
  </si>
  <si>
    <t>Jun %</t>
  </si>
  <si>
    <t>Jul %</t>
  </si>
  <si>
    <t>Aug %</t>
  </si>
  <si>
    <t>Sep %</t>
  </si>
  <si>
    <t>Oct %</t>
  </si>
  <si>
    <t>Nov %</t>
  </si>
  <si>
    <t>Dec %</t>
  </si>
  <si>
    <t>Year %</t>
  </si>
  <si>
    <t>Revenue 1</t>
  </si>
  <si>
    <t>Revenue 2</t>
  </si>
  <si>
    <t>Revenue 3</t>
  </si>
  <si>
    <t>Revenue 4</t>
  </si>
  <si>
    <t>Revenue 5</t>
  </si>
  <si>
    <t>Revenue 6</t>
  </si>
  <si>
    <t>Revenue 7</t>
  </si>
  <si>
    <t>TOTAL SALES</t>
  </si>
  <si>
    <t>Fiscal Year:</t>
  </si>
  <si>
    <t>COST OF SALES</t>
  </si>
  <si>
    <t>Cost 1</t>
  </si>
  <si>
    <t>Cost 2</t>
  </si>
  <si>
    <t>Cost 3</t>
  </si>
  <si>
    <t>Cost 4</t>
  </si>
  <si>
    <t>Cost 5</t>
  </si>
  <si>
    <t>Cost 6</t>
  </si>
  <si>
    <t>Cost 7</t>
  </si>
  <si>
    <t>TOTAL COST OF SALES</t>
  </si>
  <si>
    <t>Gross Profit</t>
  </si>
  <si>
    <t>EXPENSES</t>
  </si>
  <si>
    <t>Column1</t>
  </si>
  <si>
    <t xml:space="preserve">Salary expenses </t>
  </si>
  <si>
    <t xml:space="preserve">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</si>
  <si>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</si>
  <si>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</si>
  <si>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</si>
  <si>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</si>
  <si>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</si>
  <si>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</si>
  <si>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</si>
  <si>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</si>
  <si>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</si>
  <si>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</si>
  <si>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</si>
  <si>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</si>
  <si>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</si>
  <si>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</si>
  <si>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</si>
  <si>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</si>
  <si>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</si>
  <si>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</t>
  </si>
</sst>
</file>

<file path=xl/styles.xml><?xml version="1.0" encoding="utf-8"?>
<styleSheet xmlns="http://schemas.openxmlformats.org/spreadsheetml/2006/main">
  <numFmts count="8">
    <numFmt numFmtId="176" formatCode="[$-409]mmm\-yy;@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(&quot;$&quot;* #,##0_);_(&quot;$&quot;* \(#,##0\);_(&quot;$&quot;* &quot;-&quot;_);_(@_)"/>
    <numFmt numFmtId="180" formatCode=";;;"/>
    <numFmt numFmtId="181" formatCode="_(* #,##0_);_(* \(#,##0\);_(* &quot;-&quot;_);_(@_)"/>
    <numFmt numFmtId="182" formatCode="_-[$$-409]* #,##0_ ;_-[$$-409]* \-#,##0\ ;_-[$$-409]* &quot;-&quot;??_ ;_-@_ "/>
    <numFmt numFmtId="183" formatCode="_(&quot;$&quot;* #,##0_);_(&quot;$&quot;* \(#,##0\);_(&quot;$&quot;* &quot;-&quot;??_);_(@_)"/>
  </numFmts>
  <fonts count="49">
    <font>
      <sz val="11"/>
      <color theme="1"/>
      <name val="Cambria"/>
      <charset val="134"/>
      <scheme val="minor"/>
    </font>
    <font>
      <sz val="24"/>
      <color theme="1"/>
      <name val="Calibri"/>
      <charset val="238"/>
      <scheme val="major"/>
    </font>
    <font>
      <i/>
      <sz val="16"/>
      <color theme="9" tint="-0.499984740745262"/>
      <name val="Cambria"/>
      <charset val="238"/>
      <scheme val="minor"/>
    </font>
    <font>
      <sz val="11"/>
      <color theme="9" tint="-0.499984740745262"/>
      <name val="Cambria"/>
      <charset val="238"/>
      <scheme val="minor"/>
    </font>
    <font>
      <i/>
      <sz val="11"/>
      <color theme="9" tint="-0.499984740745262"/>
      <name val="Cambria"/>
      <charset val="238"/>
      <scheme val="minor"/>
    </font>
    <font>
      <sz val="22"/>
      <color theme="1"/>
      <name val="Cambria"/>
      <charset val="238"/>
      <scheme val="minor"/>
    </font>
    <font>
      <b/>
      <sz val="26"/>
      <color theme="3"/>
      <name val="Cambria"/>
      <charset val="134"/>
      <scheme val="minor"/>
    </font>
    <font>
      <sz val="22"/>
      <color theme="3"/>
      <name val="Cambria"/>
      <charset val="238"/>
      <scheme val="minor"/>
    </font>
    <font>
      <sz val="11"/>
      <color theme="1"/>
      <name val="Calibri"/>
      <charset val="238"/>
      <scheme val="major"/>
    </font>
    <font>
      <sz val="12"/>
      <color theme="1"/>
      <name val="Calibri"/>
      <charset val="238"/>
      <scheme val="major"/>
    </font>
    <font>
      <sz val="11"/>
      <color theme="4" tint="-0.499984740745262"/>
      <name val="Cambria"/>
      <charset val="134"/>
      <scheme val="minor"/>
    </font>
    <font>
      <b/>
      <sz val="11"/>
      <color theme="0"/>
      <name val="Cambria"/>
      <charset val="238"/>
      <scheme val="minor"/>
    </font>
    <font>
      <b/>
      <sz val="12"/>
      <color theme="0"/>
      <name val="Cambria"/>
      <charset val="134"/>
      <scheme val="minor"/>
    </font>
    <font>
      <b/>
      <sz val="11"/>
      <color theme="0"/>
      <name val="Cambria"/>
      <charset val="134"/>
      <scheme val="minor"/>
    </font>
    <font>
      <b/>
      <i/>
      <sz val="22"/>
      <color theme="7"/>
      <name val="Calibri"/>
      <charset val="134"/>
      <scheme val="major"/>
    </font>
    <font>
      <b/>
      <sz val="11"/>
      <color theme="8"/>
      <name val="Cambria"/>
      <charset val="134"/>
      <scheme val="minor"/>
    </font>
    <font>
      <sz val="11"/>
      <name val="Cambria"/>
      <charset val="134"/>
      <scheme val="minor"/>
    </font>
    <font>
      <b/>
      <i/>
      <sz val="22"/>
      <color theme="7" tint="-0.249946592608417"/>
      <name val="Calibri"/>
      <charset val="134"/>
      <scheme val="major"/>
    </font>
    <font>
      <i/>
      <sz val="16"/>
      <color theme="4" tint="-0.499984740745262"/>
      <name val="Cambria"/>
      <charset val="238"/>
      <scheme val="minor"/>
    </font>
    <font>
      <sz val="11"/>
      <color theme="4" tint="-0.499984740745262"/>
      <name val="Cambria"/>
      <charset val="238"/>
      <scheme val="minor"/>
    </font>
    <font>
      <i/>
      <sz val="11"/>
      <color theme="4" tint="-0.499984740745262"/>
      <name val="Cambria"/>
      <charset val="238"/>
      <scheme val="minor"/>
    </font>
    <font>
      <b/>
      <sz val="11"/>
      <color theme="1"/>
      <name val="Calibri"/>
      <charset val="238"/>
      <scheme val="major"/>
    </font>
    <font>
      <b/>
      <sz val="12"/>
      <color theme="1"/>
      <name val="Calibri"/>
      <charset val="238"/>
      <scheme val="major"/>
    </font>
    <font>
      <sz val="10"/>
      <color theme="1"/>
      <name val="Cambria"/>
      <charset val="134"/>
      <scheme val="minor"/>
    </font>
    <font>
      <b/>
      <sz val="12"/>
      <color theme="8"/>
      <name val="Calibri"/>
      <charset val="134"/>
      <scheme val="major"/>
    </font>
    <font>
      <i/>
      <sz val="16"/>
      <color theme="5" tint="-0.499984740745262"/>
      <name val="Cambria"/>
      <charset val="238"/>
      <scheme val="minor"/>
    </font>
    <font>
      <sz val="11"/>
      <color theme="5" tint="-0.499984740745262"/>
      <name val="Cambria"/>
      <charset val="238"/>
      <scheme val="minor"/>
    </font>
    <font>
      <i/>
      <sz val="11"/>
      <color theme="5" tint="-0.499984740745262"/>
      <name val="Cambria"/>
      <charset val="238"/>
      <scheme val="minor"/>
    </font>
    <font>
      <b/>
      <sz val="12"/>
      <color theme="1"/>
      <name val="Cambria"/>
      <charset val="238"/>
      <scheme val="minor"/>
    </font>
    <font>
      <sz val="11"/>
      <color theme="1"/>
      <name val="Cambria"/>
      <charset val="134"/>
      <scheme val="minor"/>
    </font>
    <font>
      <sz val="11"/>
      <color rgb="FF9C0006"/>
      <name val="Cambria"/>
      <charset val="0"/>
      <scheme val="minor"/>
    </font>
    <font>
      <b/>
      <sz val="11"/>
      <color rgb="FFFFFFFF"/>
      <name val="Cambria"/>
      <charset val="0"/>
      <scheme val="minor"/>
    </font>
    <font>
      <sz val="11"/>
      <color theme="1"/>
      <name val="Cambria"/>
      <charset val="0"/>
      <scheme val="minor"/>
    </font>
    <font>
      <b/>
      <sz val="11"/>
      <color rgb="FFFA7D00"/>
      <name val="Cambria"/>
      <charset val="0"/>
      <scheme val="minor"/>
    </font>
    <font>
      <b/>
      <sz val="22"/>
      <color theme="3"/>
      <name val="Cambria"/>
      <charset val="134"/>
      <scheme val="minor"/>
    </font>
    <font>
      <sz val="11"/>
      <color rgb="FFFF0000"/>
      <name val="Cambria"/>
      <charset val="0"/>
      <scheme val="minor"/>
    </font>
    <font>
      <sz val="11"/>
      <color rgb="FF006100"/>
      <name val="Cambria"/>
      <charset val="0"/>
      <scheme val="minor"/>
    </font>
    <font>
      <sz val="11"/>
      <color rgb="FF3F3F76"/>
      <name val="Cambria"/>
      <charset val="0"/>
      <scheme val="minor"/>
    </font>
    <font>
      <u/>
      <sz val="11"/>
      <color rgb="FF0000FF"/>
      <name val="Cambria"/>
      <charset val="0"/>
      <scheme val="minor"/>
    </font>
    <font>
      <sz val="11"/>
      <color theme="0"/>
      <name val="Cambria"/>
      <charset val="0"/>
      <scheme val="minor"/>
    </font>
    <font>
      <sz val="11"/>
      <color rgb="FF9C6500"/>
      <name val="Cambria"/>
      <charset val="0"/>
      <scheme val="minor"/>
    </font>
    <font>
      <b/>
      <sz val="11"/>
      <color theme="1"/>
      <name val="Cambria"/>
      <charset val="0"/>
      <scheme val="minor"/>
    </font>
    <font>
      <b/>
      <i/>
      <sz val="16"/>
      <color theme="7" tint="-0.249946592608417"/>
      <name val="Calibri"/>
      <charset val="134"/>
      <scheme val="major"/>
    </font>
    <font>
      <u/>
      <sz val="11"/>
      <color rgb="FF800080"/>
      <name val="Cambria"/>
      <charset val="0"/>
      <scheme val="minor"/>
    </font>
    <font>
      <sz val="11"/>
      <color theme="3"/>
      <name val="Calibri"/>
      <charset val="134"/>
      <scheme val="major"/>
    </font>
    <font>
      <i/>
      <sz val="11"/>
      <color rgb="FF7F7F7F"/>
      <name val="Cambria"/>
      <charset val="0"/>
      <scheme val="minor"/>
    </font>
    <font>
      <b/>
      <sz val="11"/>
      <color rgb="FF3F3F3F"/>
      <name val="Cambria"/>
      <charset val="0"/>
      <scheme val="minor"/>
    </font>
    <font>
      <sz val="11"/>
      <color rgb="FFFA7D00"/>
      <name val="Cambria"/>
      <charset val="0"/>
      <scheme val="minor"/>
    </font>
    <font>
      <b/>
      <sz val="12"/>
      <color theme="3"/>
      <name val="Cambria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dotted">
        <color theme="6" tint="0.599993896298105"/>
      </left>
      <right style="dotted">
        <color theme="6" tint="0.599993896298105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dotted">
        <color theme="6" tint="0.599993896298105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dotted">
        <color theme="4" tint="0.399975585192419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dotted">
        <color theme="5" tint="0.399975585192419"/>
      </left>
      <right style="dotted">
        <color theme="5" tint="0.399975585192419"/>
      </right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dotted">
        <color theme="5" tint="0.399975585192419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theme="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9" fontId="0" fillId="5" borderId="40" applyNumberFormat="0" applyFont="0" applyAlignment="0">
      <alignment horizontal="center"/>
    </xf>
    <xf numFmtId="0" fontId="3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79" fontId="16" fillId="11" borderId="40" applyNumberFormat="0" applyFont="0" applyAlignment="0"/>
    <xf numFmtId="179" fontId="16" fillId="0" borderId="0" applyFill="0" applyBorder="0" applyAlignment="0" applyProtection="0"/>
    <xf numFmtId="177" fontId="29" fillId="0" borderId="0" applyFont="0" applyFill="0" applyBorder="0" applyAlignment="0" applyProtection="0">
      <alignment vertical="center"/>
    </xf>
    <xf numFmtId="9" fontId="16" fillId="0" borderId="0" applyFill="0" applyBorder="0" applyProtection="0">
      <alignment horizontal="right"/>
    </xf>
    <xf numFmtId="0" fontId="3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8" borderId="42" applyNumberFormat="0" applyAlignment="0" applyProtection="0">
      <alignment vertical="center"/>
    </xf>
    <xf numFmtId="0" fontId="17" fillId="0" borderId="0" applyFill="0" applyProtection="0">
      <alignment horizontal="right" vertical="center"/>
    </xf>
    <xf numFmtId="0" fontId="0" fillId="7" borderId="41" applyNumberFormat="0" applyFont="0" applyAlignment="0" applyProtection="0"/>
    <xf numFmtId="0" fontId="3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6" fillId="24" borderId="40" applyNumberFormat="0" applyFont="0" applyAlignment="0"/>
    <xf numFmtId="0" fontId="32" fillId="26" borderId="0" applyNumberFormat="0" applyBorder="0" applyAlignment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45" applyProtection="0">
      <alignment vertical="center"/>
    </xf>
    <xf numFmtId="0" fontId="24" fillId="0" borderId="0" applyFill="0" applyProtection="0">
      <alignment horizontal="right" vertical="center"/>
    </xf>
    <xf numFmtId="176" fontId="44" fillId="0" borderId="46" applyFill="0" applyProtection="0">
      <alignment horizontal="center" vertical="center"/>
    </xf>
    <xf numFmtId="0" fontId="37" fillId="13" borderId="43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10" borderId="4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0" borderId="43" applyNumberFormat="0" applyAlignment="0" applyProtection="0">
      <alignment vertical="center"/>
    </xf>
    <xf numFmtId="0" fontId="47" fillId="0" borderId="48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" borderId="0">
      <alignment horizontal="right" vertical="center" indent="1"/>
    </xf>
    <xf numFmtId="0" fontId="32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horizontal="right" wrapText="1" indent="1"/>
    </xf>
    <xf numFmtId="0" fontId="32" fillId="2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9" fontId="13" fillId="4" borderId="0" applyBorder="0" applyAlignment="0" applyProtection="0"/>
    <xf numFmtId="9" fontId="13" fillId="4" borderId="0" applyBorder="0" applyAlignment="0" applyProtection="0"/>
    <xf numFmtId="0" fontId="48" fillId="0" borderId="0">
      <alignment horizontal="right" indent="1"/>
    </xf>
  </cellStyleXfs>
  <cellXfs count="114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13" applyFont="1" applyBorder="1" applyAlignment="1">
      <alignment horizontal="left" vertical="center"/>
    </xf>
    <xf numFmtId="0" fontId="0" fillId="0" borderId="1" xfId="0" applyBorder="1"/>
    <xf numFmtId="0" fontId="2" fillId="0" borderId="0" xfId="21" applyFont="1" applyBorder="1">
      <alignment vertical="center"/>
    </xf>
    <xf numFmtId="0" fontId="3" fillId="0" borderId="0" xfId="0" applyFont="1"/>
    <xf numFmtId="0" fontId="4" fillId="0" borderId="0" xfId="22" applyFont="1" applyAlignment="1">
      <alignment horizontal="right" vertical="center"/>
    </xf>
    <xf numFmtId="0" fontId="4" fillId="0" borderId="0" xfId="22" applyFont="1" applyAlignment="1">
      <alignment horizontal="center" vertical="center" wrapText="1"/>
    </xf>
    <xf numFmtId="0" fontId="5" fillId="0" borderId="1" xfId="19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19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10" fillId="0" borderId="0" xfId="0" applyNumberFormat="1" applyFont="1"/>
    <xf numFmtId="0" fontId="0" fillId="0" borderId="0" xfId="0" applyAlignment="1">
      <alignment horizontal="right" vertical="center" wrapText="1"/>
    </xf>
    <xf numFmtId="182" fontId="0" fillId="0" borderId="0" xfId="0" applyNumberFormat="1" applyAlignment="1">
      <alignment vertical="center"/>
    </xf>
    <xf numFmtId="182" fontId="0" fillId="0" borderId="0" xfId="0" applyNumberFormat="1" applyAlignment="1">
      <alignment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2" borderId="0" xfId="38" applyFont="1" applyFill="1">
      <alignment horizontal="right" vertical="center" indent="1"/>
    </xf>
    <xf numFmtId="0" fontId="12" fillId="2" borderId="0" xfId="38" applyFill="1">
      <alignment horizontal="right" vertical="center" indent="1"/>
    </xf>
    <xf numFmtId="179" fontId="13" fillId="2" borderId="0" xfId="54" applyFill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0" fontId="10" fillId="0" borderId="4" xfId="0" applyNumberFormat="1" applyFont="1" applyBorder="1"/>
    <xf numFmtId="182" fontId="0" fillId="0" borderId="4" xfId="0" applyNumberFormat="1" applyBorder="1" applyAlignment="1">
      <alignment vertical="center"/>
    </xf>
    <xf numFmtId="182" fontId="0" fillId="0" borderId="4" xfId="0" applyNumberFormat="1" applyBorder="1" applyAlignment="1">
      <alignment vertical="center" shrinkToFit="1"/>
    </xf>
    <xf numFmtId="182" fontId="0" fillId="0" borderId="5" xfId="0" applyNumberFormat="1" applyBorder="1" applyAlignment="1">
      <alignment vertical="center" shrinkToFit="1"/>
    </xf>
    <xf numFmtId="0" fontId="14" fillId="0" borderId="0" xfId="0" applyFont="1" applyBorder="1" applyAlignment="1">
      <alignment horizontal="right" vertical="center"/>
    </xf>
    <xf numFmtId="0" fontId="15" fillId="0" borderId="1" xfId="0" applyFont="1" applyBorder="1"/>
    <xf numFmtId="0" fontId="15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0" fontId="10" fillId="0" borderId="8" xfId="0" applyNumberFormat="1" applyFont="1" applyBorder="1"/>
    <xf numFmtId="180" fontId="10" fillId="0" borderId="0" xfId="0" applyNumberFormat="1" applyFont="1" applyBorder="1"/>
    <xf numFmtId="9" fontId="16" fillId="0" borderId="0" xfId="8" applyAlignment="1">
      <alignment horizontal="right" vertical="center"/>
    </xf>
    <xf numFmtId="9" fontId="16" fillId="0" borderId="8" xfId="8" applyBorder="1" applyAlignment="1">
      <alignment horizontal="right" vertical="center"/>
    </xf>
    <xf numFmtId="9" fontId="16" fillId="0" borderId="0" xfId="8" applyBorder="1" applyAlignment="1">
      <alignment horizontal="right" vertical="center"/>
    </xf>
    <xf numFmtId="9" fontId="16" fillId="0" borderId="9" xfId="8" applyBorder="1" applyAlignment="1">
      <alignment horizontal="right" vertical="center"/>
    </xf>
    <xf numFmtId="9" fontId="16" fillId="0" borderId="10" xfId="8" applyBorder="1" applyAlignment="1">
      <alignment horizontal="right" vertical="center"/>
    </xf>
    <xf numFmtId="0" fontId="12" fillId="0" borderId="0" xfId="38" applyFill="1">
      <alignment horizontal="right" vertical="center" indent="1"/>
    </xf>
    <xf numFmtId="9" fontId="13" fillId="2" borderId="0" xfId="55" applyFill="1" applyAlignment="1">
      <alignment horizontal="right" vertical="center" indent="1"/>
    </xf>
    <xf numFmtId="0" fontId="17" fillId="0" borderId="0" xfId="13">
      <alignment horizontal="right" vertical="center"/>
    </xf>
    <xf numFmtId="0" fontId="8" fillId="0" borderId="11" xfId="0" applyFont="1" applyBorder="1" applyAlignment="1">
      <alignment horizontal="center" vertical="center"/>
    </xf>
    <xf numFmtId="180" fontId="10" fillId="0" borderId="12" xfId="0" applyNumberFormat="1" applyFont="1" applyFill="1" applyBorder="1" applyAlignment="1">
      <alignment wrapText="1"/>
    </xf>
    <xf numFmtId="9" fontId="16" fillId="0" borderId="12" xfId="8" applyBorder="1" applyAlignment="1">
      <alignment horizontal="right" vertical="center"/>
    </xf>
    <xf numFmtId="9" fontId="16" fillId="0" borderId="13" xfId="8" applyBorder="1" applyAlignment="1">
      <alignment horizontal="right" vertical="center"/>
    </xf>
    <xf numFmtId="0" fontId="18" fillId="0" borderId="0" xfId="21" applyFont="1" applyBorder="1">
      <alignment vertical="center"/>
    </xf>
    <xf numFmtId="0" fontId="19" fillId="0" borderId="0" xfId="0" applyFont="1"/>
    <xf numFmtId="0" fontId="20" fillId="0" borderId="0" xfId="22" applyFont="1" applyAlignment="1">
      <alignment horizontal="right" vertical="center"/>
    </xf>
    <xf numFmtId="0" fontId="20" fillId="0" borderId="0" xfId="22" applyFont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76" fontId="21" fillId="3" borderId="15" xfId="23" applyFont="1" applyFill="1" applyBorder="1">
      <alignment horizontal="center" vertical="center"/>
    </xf>
    <xf numFmtId="0" fontId="22" fillId="0" borderId="0" xfId="56" applyFont="1" applyBorder="1" applyAlignment="1">
      <alignment horizontal="center" vertical="center"/>
    </xf>
    <xf numFmtId="0" fontId="22" fillId="0" borderId="0" xfId="56" applyFont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/>
    </xf>
    <xf numFmtId="0" fontId="0" fillId="0" borderId="0" xfId="51" applyBorder="1" applyAlignment="1">
      <alignment horizontal="right" vertical="center" wrapText="1" indent="1"/>
    </xf>
    <xf numFmtId="0" fontId="23" fillId="0" borderId="0" xfId="1" applyNumberFormat="1" applyFont="1" applyFill="1" applyBorder="1" applyAlignment="1">
      <alignment horizontal="center" vertical="center"/>
    </xf>
    <xf numFmtId="179" fontId="16" fillId="0" borderId="0" xfId="6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/>
    <xf numFmtId="179" fontId="0" fillId="0" borderId="0" xfId="0" applyNumberFormat="1" applyFont="1" applyFill="1" applyBorder="1" applyAlignment="1">
      <alignment vertical="center" shrinkToFit="1"/>
    </xf>
    <xf numFmtId="0" fontId="12" fillId="4" borderId="16" xfId="38" applyBorder="1">
      <alignment horizontal="right" vertical="center" indent="1"/>
    </xf>
    <xf numFmtId="0" fontId="12" fillId="4" borderId="0" xfId="38">
      <alignment horizontal="right" vertical="center" indent="1"/>
    </xf>
    <xf numFmtId="179" fontId="13" fillId="4" borderId="16" xfId="54" applyFill="1" applyBorder="1" applyAlignment="1">
      <alignment horizontal="right" vertical="center" indent="1"/>
    </xf>
    <xf numFmtId="0" fontId="0" fillId="0" borderId="14" xfId="0" applyBorder="1"/>
    <xf numFmtId="176" fontId="21" fillId="3" borderId="0" xfId="23" applyFont="1" applyFill="1" applyBorder="1">
      <alignment horizontal="center" vertical="center"/>
    </xf>
    <xf numFmtId="176" fontId="21" fillId="3" borderId="17" xfId="23" applyFont="1" applyFill="1" applyBorder="1">
      <alignment horizontal="center" vertical="center"/>
    </xf>
    <xf numFmtId="180" fontId="0" fillId="0" borderId="18" xfId="0" applyNumberFormat="1" applyFont="1" applyFill="1" applyBorder="1" applyAlignment="1">
      <alignment horizontal="center"/>
    </xf>
    <xf numFmtId="179" fontId="16" fillId="0" borderId="18" xfId="6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vertical="center" shrinkToFit="1"/>
    </xf>
    <xf numFmtId="176" fontId="21" fillId="3" borderId="20" xfId="23" applyFont="1" applyFill="1" applyBorder="1">
      <alignment horizontal="center" vertical="center"/>
    </xf>
    <xf numFmtId="176" fontId="21" fillId="3" borderId="21" xfId="23" applyFont="1" applyFill="1" applyBorder="1">
      <alignment horizontal="center" vertical="center"/>
    </xf>
    <xf numFmtId="180" fontId="0" fillId="0" borderId="22" xfId="0" applyNumberFormat="1" applyFont="1" applyFill="1" applyBorder="1" applyAlignment="1">
      <alignment horizontal="center"/>
    </xf>
    <xf numFmtId="9" fontId="16" fillId="0" borderId="0" xfId="8" applyFill="1" applyBorder="1" applyAlignment="1">
      <alignment horizontal="right" vertical="center"/>
    </xf>
    <xf numFmtId="9" fontId="16" fillId="0" borderId="22" xfId="8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 shrinkToFit="1"/>
    </xf>
    <xf numFmtId="9" fontId="0" fillId="0" borderId="23" xfId="0" applyNumberFormat="1" applyFont="1" applyFill="1" applyBorder="1" applyAlignment="1">
      <alignment horizontal="right" vertical="center" shrinkToFit="1"/>
    </xf>
    <xf numFmtId="9" fontId="0" fillId="0" borderId="24" xfId="0" applyNumberFormat="1" applyFont="1" applyFill="1" applyBorder="1" applyAlignment="1">
      <alignment horizontal="right" vertical="center" shrinkToFit="1"/>
    </xf>
    <xf numFmtId="9" fontId="13" fillId="4" borderId="16" xfId="55" applyFill="1" applyBorder="1" applyAlignment="1">
      <alignment vertical="center"/>
    </xf>
    <xf numFmtId="0" fontId="24" fillId="0" borderId="0" xfId="22">
      <alignment horizontal="right" vertical="center"/>
    </xf>
    <xf numFmtId="0" fontId="24" fillId="0" borderId="0" xfId="22" applyNumberFormat="1">
      <alignment horizontal="right" vertical="center"/>
    </xf>
    <xf numFmtId="176" fontId="21" fillId="3" borderId="25" xfId="23" applyFont="1" applyFill="1" applyBorder="1">
      <alignment horizontal="center" vertical="center"/>
    </xf>
    <xf numFmtId="180" fontId="0" fillId="0" borderId="26" xfId="0" applyNumberFormat="1" applyFont="1" applyFill="1" applyBorder="1" applyAlignment="1">
      <alignment horizontal="center"/>
    </xf>
    <xf numFmtId="9" fontId="16" fillId="0" borderId="26" xfId="8" applyFill="1" applyBorder="1" applyAlignment="1">
      <alignment horizontal="right" vertical="center"/>
    </xf>
    <xf numFmtId="9" fontId="0" fillId="0" borderId="27" xfId="0" applyNumberFormat="1" applyBorder="1" applyAlignment="1">
      <alignment vertical="center" shrinkToFit="1"/>
    </xf>
    <xf numFmtId="0" fontId="0" fillId="0" borderId="0" xfId="0" applyFill="1" applyBorder="1"/>
    <xf numFmtId="0" fontId="25" fillId="0" borderId="0" xfId="21" applyFont="1" applyBorder="1">
      <alignment vertical="center"/>
    </xf>
    <xf numFmtId="0" fontId="26" fillId="0" borderId="0" xfId="0" applyFont="1"/>
    <xf numFmtId="0" fontId="27" fillId="0" borderId="0" xfId="22" applyFont="1" applyAlignment="1">
      <alignment horizontal="right" vertical="center"/>
    </xf>
    <xf numFmtId="0" fontId="27" fillId="0" borderId="0" xfId="22" applyFont="1" applyAlignment="1">
      <alignment horizontal="center" vertical="center" wrapText="1"/>
    </xf>
    <xf numFmtId="176" fontId="21" fillId="3" borderId="28" xfId="23" applyFont="1" applyFill="1" applyBorder="1">
      <alignment horizontal="center" vertical="center"/>
    </xf>
    <xf numFmtId="0" fontId="28" fillId="0" borderId="0" xfId="56" applyFont="1" applyBorder="1" applyAlignment="1">
      <alignment horizontal="center" vertical="center"/>
    </xf>
    <xf numFmtId="0" fontId="28" fillId="0" borderId="0" xfId="56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 indent="1"/>
    </xf>
    <xf numFmtId="176" fontId="21" fillId="3" borderId="29" xfId="23" applyFont="1" applyFill="1" applyBorder="1">
      <alignment horizontal="center" vertical="center"/>
    </xf>
    <xf numFmtId="176" fontId="21" fillId="3" borderId="30" xfId="23" applyFont="1" applyFill="1" applyBorder="1">
      <alignment horizontal="center" vertical="center"/>
    </xf>
    <xf numFmtId="180" fontId="0" fillId="0" borderId="31" xfId="0" applyNumberFormat="1" applyFont="1" applyFill="1" applyBorder="1" applyAlignment="1">
      <alignment horizontal="center"/>
    </xf>
    <xf numFmtId="179" fontId="16" fillId="0" borderId="31" xfId="6" applyFill="1" applyBorder="1" applyAlignment="1">
      <alignment horizontal="center" vertical="center"/>
    </xf>
    <xf numFmtId="183" fontId="0" fillId="0" borderId="32" xfId="0" applyNumberFormat="1" applyFont="1" applyFill="1" applyBorder="1" applyAlignment="1">
      <alignment vertical="center" shrinkToFit="1"/>
    </xf>
    <xf numFmtId="176" fontId="21" fillId="3" borderId="33" xfId="23" applyFont="1" applyFill="1" applyBorder="1">
      <alignment horizontal="center" vertical="center"/>
    </xf>
    <xf numFmtId="176" fontId="21" fillId="3" borderId="34" xfId="23" applyFont="1" applyFill="1" applyBorder="1">
      <alignment horizontal="center" vertical="center"/>
    </xf>
    <xf numFmtId="180" fontId="0" fillId="0" borderId="35" xfId="0" applyNumberFormat="1" applyFont="1" applyFill="1" applyBorder="1" applyAlignment="1">
      <alignment horizontal="center"/>
    </xf>
    <xf numFmtId="9" fontId="16" fillId="0" borderId="35" xfId="8" applyFill="1" applyBorder="1" applyAlignment="1">
      <alignment horizontal="right" vertical="center"/>
    </xf>
    <xf numFmtId="9" fontId="0" fillId="0" borderId="36" xfId="0" applyNumberFormat="1" applyFont="1" applyFill="1" applyBorder="1" applyAlignment="1">
      <alignment horizontal="right" vertical="center" shrinkToFit="1"/>
    </xf>
    <xf numFmtId="9" fontId="0" fillId="0" borderId="37" xfId="0" applyNumberFormat="1" applyFont="1" applyFill="1" applyBorder="1" applyAlignment="1">
      <alignment horizontal="right" vertical="center" shrinkToFit="1"/>
    </xf>
    <xf numFmtId="176" fontId="21" fillId="3" borderId="38" xfId="23" applyFont="1" applyFill="1" applyBorder="1">
      <alignment horizontal="center" vertical="center"/>
    </xf>
    <xf numFmtId="180" fontId="0" fillId="0" borderId="29" xfId="0" applyNumberFormat="1" applyFont="1" applyFill="1" applyBorder="1" applyAlignment="1">
      <alignment horizontal="center"/>
    </xf>
    <xf numFmtId="9" fontId="16" fillId="0" borderId="29" xfId="8" applyFill="1" applyBorder="1" applyAlignment="1">
      <alignment horizontal="right" vertical="center"/>
    </xf>
    <xf numFmtId="9" fontId="0" fillId="0" borderId="39" xfId="0" applyNumberFormat="1" applyBorder="1" applyAlignment="1">
      <alignment vertical="center" shrinkToFit="1"/>
    </xf>
  </cellXfs>
  <cellStyles count="57">
    <cellStyle name="Normal" xfId="0" builtinId="0"/>
    <cellStyle name="Revenue fill" xfId="1"/>
    <cellStyle name="40% - Accent1" xfId="2" builtinId="31"/>
    <cellStyle name="Comma" xfId="3" builtinId="3"/>
    <cellStyle name="Comma [0]" xfId="4" builtinId="6"/>
    <cellStyle name="Cost of Sales fill" xfId="5"/>
    <cellStyle name="Currency [0]" xfId="6" builtinId="7"/>
    <cellStyle name="Currency" xfId="7" builtinId="4"/>
    <cellStyle name="Percent" xfId="8" builtinId="5"/>
    <cellStyle name="Hyperlink" xfId="9" builtinId="8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40% - Accent3" xfId="15" builtinId="39"/>
    <cellStyle name="Warning Text" xfId="16" builtinId="11"/>
    <cellStyle name="Expenses fill" xfId="17"/>
    <cellStyle name="40% - Accent2" xfId="18" builtinId="35"/>
    <cellStyle name="Title" xfId="19" builtinId="15"/>
    <cellStyle name="CExplanatory Text" xfId="20" builtinId="53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Profit" xfId="38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Table Details" xfId="51"/>
    <cellStyle name="40% - Accent6" xfId="52" builtinId="51"/>
    <cellStyle name="60% - Accent6" xfId="53" builtinId="52"/>
    <cellStyle name="Profit Amount" xfId="54"/>
    <cellStyle name="Profit Percent" xfId="55"/>
    <cellStyle name="Table Heading 1" xfId="56"/>
  </cellStyles>
  <dxfs count="106">
    <dxf>
      <alignment horizontal="right" vertical="center" wrapText="1" indent="1"/>
    </dxf>
    <dxf>
      <font>
        <name val="Cambria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right style="thin">
          <color theme="5" tint="-0.249977111117893"/>
        </right>
        <top/>
        <bottom/>
      </border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top/>
        <bottom/>
      </border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border>
        <top/>
        <bottom/>
      </border>
    </dxf>
    <dxf>
      <alignment horizontal="right" vertical="center" wrapText="1" indent="1"/>
    </dxf>
    <dxf>
      <font>
        <name val="Cambria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  <border>
        <right style="thin">
          <color theme="4" tint="-0.249977111117893"/>
        </right>
      </border>
    </dxf>
    <dxf>
      <fill>
        <patternFill patternType="none"/>
      </fill>
      <alignment horizontal="center" vertical="center"/>
      <border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  <right/>
        <top/>
        <bottom/>
      </border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alignment horizontal="right" vertical="center" wrapText="1"/>
    </dxf>
    <dxf>
      <border>
        <left/>
        <right style="thin">
          <color theme="6" tint="-0.249977111117893"/>
        </right>
        <top/>
        <bottom/>
      </border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  <border>
        <left style="thin">
          <color theme="9" tint="-0.499984740745262"/>
        </left>
        <right style="thin">
          <color theme="9" tint="-0.499984740745262"/>
        </right>
        <top/>
        <bottom/>
      </border>
    </dxf>
    <dxf>
      <alignment vertical="center"/>
    </dxf>
    <dxf>
      <alignment vertical="center"/>
      <border>
        <left style="thin">
          <color theme="9" tint="-0.499984740745262"/>
        </left>
        <right/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  <border>
        <left/>
        <right style="thin">
          <color theme="6" tint="-0.249977111117893"/>
        </right>
        <top/>
        <bottom/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 style="thin">
          <color theme="6" tint="0.399945066682943"/>
        </horizontal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/>
      </border>
    </dxf>
    <dxf>
      <font>
        <b val="1"/>
        <i val="0"/>
        <color theme="3"/>
      </font>
      <fill>
        <patternFill patternType="none"/>
      </fill>
    </dxf>
    <dxf>
      <font>
        <b val="1"/>
        <i val="0"/>
        <color theme="3"/>
      </font>
      <fill>
        <patternFill patternType="none"/>
      </fill>
      <border>
        <left/>
        <right/>
        <top/>
        <bottom/>
        <vertical/>
        <horizontal/>
      </border>
    </dxf>
    <dxf/>
    <dxf>
      <fill>
        <patternFill patternType="solid">
          <bgColor theme="9" tint="0.599963377788629"/>
        </patternFill>
      </fill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9" tint="0.400006103701895"/>
          </stop>
          <stop position="1">
            <color theme="9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9" tint="0.399945066682943"/>
        </left>
        <right style="dotted">
          <color theme="9" tint="0.399945066682943"/>
        </right>
        <top/>
        <bottom style="thin">
          <color theme="9" tint="0.399945066682943"/>
        </bottom>
        <vertical style="dotted">
          <color theme="9" tint="0.399945066682943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5" tint="0.799981688894314"/>
        </patternFill>
      </fill>
      <border>
        <left style="dotted">
          <color theme="5" tint="0.399914548173467"/>
        </left>
        <right style="dotted">
          <color theme="5" tint="0.399914548173467"/>
        </right>
        <top style="thin">
          <color theme="5" tint="0.399945066682943"/>
        </top>
        <bottom style="thin">
          <color theme="5" tint="0.399945066682943"/>
        </bottom>
        <vertical style="dotted">
          <color theme="5" tint="0.399945066682943"/>
        </vertical>
        <horizontal style="thin">
          <color theme="5" tint="0.399945066682943"/>
        </horizontal>
      </border>
    </dxf>
    <dxf>
      <border>
        <left style="dotted">
          <color theme="5" tint="0.399884029663991"/>
        </left>
        <right style="dotted">
          <color theme="5" tint="0.399914548173467"/>
        </right>
        <top style="thin">
          <color theme="5" tint="0.399914548173467"/>
        </top>
        <bottom style="thin">
          <color theme="5" tint="0.399945066682943"/>
        </bottom>
        <vertical style="dotted">
          <color theme="5" tint="0.399914548173467"/>
        </vertical>
        <horizontal style="thin">
          <color theme="5" tint="0.399914548173467"/>
        </horizontal>
      </border>
    </dxf>
    <dxf>
      <font>
        <b val="1"/>
        <i val="0"/>
        <color theme="1"/>
      </font>
      <fill>
        <gradientFill degree="90">
          <stop position="0">
            <color theme="5" tint="0.400006103701895"/>
          </stop>
          <stop position="1">
            <color theme="5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5" tint="0.399914548173467"/>
        </left>
        <right style="dotted">
          <color theme="5" tint="0.399914548173467"/>
        </right>
        <top/>
        <bottom style="thin">
          <color theme="5" tint="0.399945066682943"/>
        </bottom>
        <vertical style="dotted">
          <color theme="5" tint="0.399914548173467"/>
        </vertical>
        <horizontal/>
      </border>
    </dxf>
    <dxf/>
    <dxf>
      <fill>
        <patternFill patternType="solid">
          <bgColor theme="4" tint="0.799981688894314"/>
        </patternFill>
      </fill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4" tint="0.400006103701895"/>
          </stop>
          <stop position="1">
            <color theme="4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4" tint="0.399945066682943"/>
        </left>
        <right style="dotted">
          <color theme="4" tint="0.399945066682943"/>
        </right>
        <top/>
        <bottom style="thin">
          <color theme="4" tint="0.399945066682943"/>
        </bottom>
        <vertical style="dotted">
          <color theme="4" tint="0.399945066682943"/>
        </vertical>
        <horizontal/>
      </border>
    </dxf>
  </dxfs>
  <tableStyles count="4" defaultTableStyle="Profit &amp; Loss Revenue" defaultPivotStyle="PivotStyleLight16">
    <tableStyle name="Profit &amp; Loss Expenses" pivot="0" count="5">
      <tableStyleElement type="wholeTable" dxfId="91"/>
      <tableStyleElement type="headerRow" dxfId="90"/>
      <tableStyleElement type="totalRow" dxfId="89"/>
      <tableStyleElement type="firstRowStripe" dxfId="88"/>
      <tableStyleElement type="secondRowStripe" dxfId="87"/>
    </tableStyle>
    <tableStyle name="Profit &amp; Loss Expenses 2" pivot="0" count="5">
      <tableStyleElement type="wholeTable" dxfId="96"/>
      <tableStyleElement type="headerRow" dxfId="95"/>
      <tableStyleElement type="totalRow" dxfId="94"/>
      <tableStyleElement type="firstRowStripe" dxfId="93"/>
      <tableStyleElement type="secondRowStripe" dxfId="92"/>
    </tableStyle>
    <tableStyle name="Profit &amp; Loss Revenue" pivot="0" count="5">
      <tableStyleElement type="wholeTable" dxfId="101"/>
      <tableStyleElement type="headerRow" dxfId="100"/>
      <tableStyleElement type="totalRow" dxfId="99"/>
      <tableStyleElement type="firstRowStripe" dxfId="98"/>
      <tableStyleElement type="secondRowStripe" dxfId="97"/>
    </tableStyle>
    <tableStyle name="Profit &amp; Loss Sales" pivot="0" count="4">
      <tableStyleElement type="headerRow" dxfId="105"/>
      <tableStyleElement type="totalRow" dxfId="104"/>
      <tableStyleElement type="firstRowStripe" dxfId="103"/>
      <tableStyleElement type="secondRowStripe" dxfId="10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Revenue" displayName="Revenue" ref="B6:AD14" totalsRowCount="1">
  <autoFilter ref="B6:AD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REVENUES (SALES)" totalsRowLabel="TOTAL SALES" dataDxfId="0"/>
    <tableColumn id="29" name="TREND" dataDxfId="1"/>
    <tableColumn id="2" name="Jan" totalsRowFunction="sum" dataDxfId="2"/>
    <tableColumn id="3" name="Feb" totalsRowFunction="sum" dataDxfId="3"/>
    <tableColumn id="4" name="Mar" totalsRowFunction="sum" dataDxfId="4"/>
    <tableColumn id="5" name="Apr" totalsRowFunction="sum" dataDxfId="5"/>
    <tableColumn id="6" name="May" totalsRowFunction="sum" dataDxfId="6"/>
    <tableColumn id="7" name="Jun" totalsRowFunction="sum" dataDxfId="7"/>
    <tableColumn id="8" name="Jul" totalsRowFunction="sum" dataDxfId="8"/>
    <tableColumn id="9" name="Aug" totalsRowFunction="sum" dataDxfId="9"/>
    <tableColumn id="10" name="Sep" totalsRowFunction="sum" dataDxfId="10"/>
    <tableColumn id="11" name="Oct" totalsRowFunction="sum" dataDxfId="11"/>
    <tableColumn id="12" name="Nov" totalsRowFunction="sum" dataDxfId="12"/>
    <tableColumn id="13" name="Dec" totalsRowFunction="sum" dataDxfId="13"/>
    <tableColumn id="14" name="Yearly" totalsRowFunction="sum" dataDxfId="14"/>
    <tableColumn id="15" name="Index %" totalsRowFunction="sum" dataDxfId="15"/>
    <tableColumn id="16" name="Jan %" totalsRowFunction="sum" dataDxfId="16"/>
    <tableColumn id="17" name="Feb %" totalsRowFunction="sum" dataDxfId="17"/>
    <tableColumn id="18" name="Mar %" totalsRowFunction="sum" dataDxfId="18"/>
    <tableColumn id="19" name="Apr %" totalsRowFunction="sum" dataDxfId="19"/>
    <tableColumn id="20" name="May %" totalsRowFunction="sum" dataDxfId="20"/>
    <tableColumn id="21" name="Jun %" totalsRowFunction="sum" dataDxfId="21"/>
    <tableColumn id="22" name="Jul %" totalsRowFunction="sum" dataDxfId="22"/>
    <tableColumn id="23" name="Aug %" totalsRowFunction="sum" dataDxfId="23"/>
    <tableColumn id="24" name="Sep %" totalsRowFunction="sum" dataDxfId="24"/>
    <tableColumn id="25" name="Oct %" totalsRowFunction="sum" dataDxfId="25"/>
    <tableColumn id="26" name="Nov %" totalsRowFunction="sum" dataDxfId="26"/>
    <tableColumn id="27" name="Dec %" totalsRowFunction="sum" dataDxfId="27"/>
    <tableColumn id="28" name="Year %" totalsRowFunction="sum" dataDxfId="28"/>
  </tableColumns>
  <tableStyleInfo name="Profit &amp; Loss Revenue" showFirstColumn="0" showLastColumn="0" showRowStripes="1" showColumnStripes="0"/>
</table>
</file>

<file path=xl/tables/table2.xml><?xml version="1.0" encoding="utf-8"?>
<table xmlns="http://schemas.openxmlformats.org/spreadsheetml/2006/main" id="2" name="CostofSales" displayName="CostofSales" ref="B6:AD14" totalsRowCount="1">
  <tableColumns count="29">
    <tableColumn id="1" name="COST OF SALES" totalsRowLabel="TOTAL COST OF SALES" dataDxfId="29"/>
    <tableColumn id="2" name="TREND" dataDxfId="30"/>
    <tableColumn id="3" name="Jan" totalsRowFunction="sum" dataDxfId="31"/>
    <tableColumn id="4" name="Feb" totalsRowFunction="sum" dataDxfId="32"/>
    <tableColumn id="5" name="Mar" totalsRowFunction="sum" dataDxfId="33"/>
    <tableColumn id="6" name="Apr" totalsRowFunction="sum" dataDxfId="34"/>
    <tableColumn id="7" name="May" totalsRowFunction="sum" dataDxfId="35"/>
    <tableColumn id="8" name="Jun" totalsRowFunction="sum" dataDxfId="36"/>
    <tableColumn id="9" name="Jul" totalsRowFunction="sum" dataDxfId="37"/>
    <tableColumn id="10" name="Aug" totalsRowFunction="sum" dataDxfId="38"/>
    <tableColumn id="11" name="Sep" totalsRowFunction="sum" dataDxfId="39"/>
    <tableColumn id="12" name="Oct" totalsRowFunction="sum" dataDxfId="40"/>
    <tableColumn id="13" name="Nov" totalsRowFunction="sum" dataDxfId="41"/>
    <tableColumn id="14" name="Dec" totalsRowFunction="sum" dataDxfId="42"/>
    <tableColumn id="15" name="Yearly" totalsRowFunction="sum" dataDxfId="43"/>
    <tableColumn id="16" name="Index %" totalsRowFunction="sum" dataDxfId="44"/>
    <tableColumn id="17" name="Jan %" totalsRowFunction="sum" dataDxfId="45"/>
    <tableColumn id="18" name="Feb %" totalsRowFunction="sum" dataDxfId="46"/>
    <tableColumn id="19" name="Mar %" totalsRowFunction="sum" dataDxfId="47"/>
    <tableColumn id="20" name="Apr %" totalsRowFunction="sum" dataDxfId="48"/>
    <tableColumn id="21" name="May %" totalsRowFunction="sum" dataDxfId="49"/>
    <tableColumn id="22" name="Jun %" totalsRowFunction="sum" dataDxfId="50"/>
    <tableColumn id="23" name="Jul %" totalsRowFunction="sum" dataDxfId="51"/>
    <tableColumn id="24" name="Aug %" totalsRowFunction="sum" dataDxfId="52"/>
    <tableColumn id="25" name="Sep %" totalsRowFunction="sum" dataDxfId="53"/>
    <tableColumn id="26" name="Oct %" totalsRowFunction="sum" dataDxfId="54"/>
    <tableColumn id="27" name="Nov %" totalsRowFunction="sum" dataDxfId="55"/>
    <tableColumn id="28" name="Dec %" totalsRowFunction="sum" dataDxfId="56"/>
    <tableColumn id="29" name="Year %" totalsRowFunction="sum" dataDxfId="57"/>
  </tableColumns>
  <tableStyleInfo name="Profit &amp; Loss Sales" showFirstColumn="0" showLastColumn="0" showRowStripes="1" showColumnStripes="0"/>
</table>
</file>

<file path=xl/tables/table3.xml><?xml version="1.0" encoding="utf-8"?>
<table xmlns="http://schemas.openxmlformats.org/spreadsheetml/2006/main" id="8" name="tblExpenses" displayName="tblExpenses" ref="B6:AD26" totalsRowCount="1">
  <tableColumns count="29">
    <tableColumn id="1" name="EXPENSES" totalsRowLabel="TOTAL EXPENSES" dataDxfId="58"/>
    <tableColumn id="2" name="TREND" totalsRowLabel=" " dataDxfId="59"/>
    <tableColumn id="3" name="Column1" totalsRowFunction="sum" dataDxfId="60"/>
    <tableColumn id="4" name="Feb" totalsRowFunction="sum" dataDxfId="61"/>
    <tableColumn id="5" name="Mar" totalsRowFunction="sum" dataDxfId="62"/>
    <tableColumn id="6" name="Apr" totalsRowFunction="sum" dataDxfId="63"/>
    <tableColumn id="7" name="May" totalsRowFunction="sum" dataDxfId="64"/>
    <tableColumn id="8" name="Jun" totalsRowFunction="sum" dataDxfId="65"/>
    <tableColumn id="9" name="Jul" totalsRowFunction="sum" dataDxfId="66"/>
    <tableColumn id="10" name="Aug" totalsRowFunction="sum" dataDxfId="67"/>
    <tableColumn id="11" name="Sep" totalsRowFunction="sum" dataDxfId="68"/>
    <tableColumn id="12" name="Oct" totalsRowFunction="sum" dataDxfId="69"/>
    <tableColumn id="13" name="Nov" totalsRowFunction="sum" dataDxfId="70"/>
    <tableColumn id="14" name="Dec" totalsRowFunction="sum" dataDxfId="71"/>
    <tableColumn id="15" name="Yearly" totalsRowFunction="sum" dataDxfId="72"/>
    <tableColumn id="16" name="Index %" totalsRowFunction="sum" dataDxfId="73"/>
    <tableColumn id="17" name="Jan %" totalsRowFunction="sum" dataDxfId="74"/>
    <tableColumn id="18" name="Feb %" totalsRowFunction="sum" dataDxfId="75"/>
    <tableColumn id="19" name="Mar %" totalsRowFunction="sum" dataDxfId="76"/>
    <tableColumn id="20" name="Apr %" totalsRowFunction="sum" dataDxfId="77"/>
    <tableColumn id="21" name="May %" totalsRowFunction="sum" dataDxfId="78"/>
    <tableColumn id="22" name="Jun %" totalsRowFunction="sum" dataDxfId="79"/>
    <tableColumn id="23" name="Jul %" totalsRowFunction="sum" dataDxfId="80"/>
    <tableColumn id="24" name="Aug %" totalsRowFunction="sum" dataDxfId="81"/>
    <tableColumn id="25" name="Sep %" totalsRowFunction="sum" dataDxfId="82"/>
    <tableColumn id="26" name="Oct %" totalsRowFunction="sum" dataDxfId="83"/>
    <tableColumn id="27" name="Nov %" totalsRowFunction="sum" dataDxfId="84"/>
    <tableColumn id="28" name="Dec %" totalsRowFunction="sum" dataDxfId="85"/>
    <tableColumn id="29" name="Year %" totalsRowFunction="sum" dataDxfId="86"/>
  </tableColumns>
  <tableStyleInfo name="Profit &amp; Loss Expenses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 autoPageBreaks="0"/>
  </sheetPr>
  <dimension ref="A1:AD14"/>
  <sheetViews>
    <sheetView showGridLines="0" tabSelected="1" zoomScalePageLayoutView="85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4" width="9.6" customWidth="1"/>
    <col min="15" max="15" width="9.6" customWidth="1"/>
    <col min="16" max="16" width="9.9" customWidth="1"/>
    <col min="17" max="30" width="6.7" customWidth="1"/>
    <col min="31" max="31" width="2.6" customWidth="1"/>
  </cols>
  <sheetData>
    <row r="1" customFormat="1" ht="38.1" customHeight="1" spans="2:30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5.1" customHeight="1" spans="1:29">
      <c r="A2" s="2"/>
      <c r="B2" s="91" t="s">
        <v>1</v>
      </c>
      <c r="C2" s="92"/>
      <c r="D2" s="92"/>
      <c r="E2" s="93" t="s">
        <v>2</v>
      </c>
      <c r="F2" s="94" t="s">
        <v>3</v>
      </c>
      <c r="G2" s="94">
        <f ca="1">YEAR(TODAY())</f>
        <v>2021</v>
      </c>
      <c r="H2" s="9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">
        <v>4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0">
      <c r="D5" s="95" t="str">
        <f ca="1">UPPER(TEXT(DATE(FYStartYear,FYMonthNo,1),"mmm-yy"))</f>
        <v>JAN-21</v>
      </c>
      <c r="E5" s="95" t="str">
        <f ca="1">UPPER(TEXT(DATE(FYStartYear,FYMonthNo+1,1),"mmm-yy"))</f>
        <v>FEB-21</v>
      </c>
      <c r="F5" s="95" t="str">
        <f ca="1">UPPER(TEXT(DATE(FYStartYear,FYMonthNo+2,1),"mmm-yy"))</f>
        <v>MAR-21</v>
      </c>
      <c r="G5" s="95" t="str">
        <f ca="1">UPPER(TEXT(DATE(FYStartYear,FYMonthNo+3,1),"mmm-yy"))</f>
        <v>APR-21</v>
      </c>
      <c r="H5" s="95" t="str">
        <f ca="1">UPPER(TEXT(DATE(FYStartYear,FYMonthNo+4,1),"mmm-yy"))</f>
        <v>MAY-21</v>
      </c>
      <c r="I5" s="95" t="str">
        <f ca="1">UPPER(TEXT(DATE(FYStartYear,FYMonthNo+5,1),"mmm-yy"))</f>
        <v>JUN-21</v>
      </c>
      <c r="J5" s="95" t="str">
        <f ca="1">UPPER(TEXT(DATE(FYStartYear,FYMonthNo+6,1),"mmm-yy"))</f>
        <v>JUL-21</v>
      </c>
      <c r="K5" s="95" t="str">
        <f ca="1">UPPER(TEXT(DATE(FYStartYear,FYMonthNo+7,1),"mmm-yy"))</f>
        <v>AUG-21</v>
      </c>
      <c r="L5" s="95" t="str">
        <f ca="1">UPPER(TEXT(DATE(FYStartYear,FYMonthNo+8,1),"mmm-yy"))</f>
        <v>SEP-21</v>
      </c>
      <c r="M5" s="95" t="str">
        <f ca="1">UPPER(TEXT(DATE(FYStartYear,FYMonthNo+9,1),"mmm-yy"))</f>
        <v>OCT-21</v>
      </c>
      <c r="N5" s="95" t="str">
        <f ca="1">UPPER(TEXT(DATE(FYStartYear,FYMonthNo+10,1),"mmm-yy"))</f>
        <v>NOV-21</v>
      </c>
      <c r="O5" s="99" t="str">
        <f ca="1">UPPER(TEXT(DATE(FYStartYear,FYMonthNo+11,1),"mmm-yy"))</f>
        <v>DEC-21</v>
      </c>
      <c r="P5" s="100" t="s">
        <v>5</v>
      </c>
      <c r="Q5" s="70" t="s">
        <v>6</v>
      </c>
      <c r="R5" s="104" t="str">
        <f ca="1">LEFT(D5,3)&amp;" %"</f>
        <v>JAN %</v>
      </c>
      <c r="S5" s="105" t="str">
        <f ca="1" t="shared" ref="S5:AC5" si="0">LEFT(E5,3)&amp;" %"</f>
        <v>FEB %</v>
      </c>
      <c r="T5" s="105" t="str">
        <f ca="1" t="shared" si="0"/>
        <v>MAR %</v>
      </c>
      <c r="U5" s="105" t="str">
        <f ca="1" t="shared" si="0"/>
        <v>APR %</v>
      </c>
      <c r="V5" s="105" t="str">
        <f ca="1" t="shared" si="0"/>
        <v>MAY %</v>
      </c>
      <c r="W5" s="105" t="str">
        <f ca="1" t="shared" si="0"/>
        <v>JUN %</v>
      </c>
      <c r="X5" s="105" t="str">
        <f ca="1" t="shared" si="0"/>
        <v>JUL %</v>
      </c>
      <c r="Y5" s="105" t="str">
        <f ca="1" t="shared" si="0"/>
        <v>AUG %</v>
      </c>
      <c r="Z5" s="105" t="str">
        <f ca="1" t="shared" si="0"/>
        <v>SEP %</v>
      </c>
      <c r="AA5" s="105" t="str">
        <f ca="1" t="shared" si="0"/>
        <v>OCT %</v>
      </c>
      <c r="AB5" s="105" t="str">
        <f ca="1" t="shared" si="0"/>
        <v>NOV %</v>
      </c>
      <c r="AC5" s="105" t="str">
        <f ca="1" t="shared" si="0"/>
        <v>DEC %</v>
      </c>
      <c r="AD5" s="110" t="s">
        <v>7</v>
      </c>
    </row>
    <row r="6" customHeight="1" spans="2:30">
      <c r="B6" s="96" t="s">
        <v>8</v>
      </c>
      <c r="C6" s="97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101" t="s">
        <v>22</v>
      </c>
      <c r="Q6" s="59" t="s">
        <v>23</v>
      </c>
      <c r="R6" s="106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111" t="s">
        <v>36</v>
      </c>
    </row>
    <row r="7" customHeight="1" spans="2:30">
      <c r="B7" s="60" t="s">
        <v>37</v>
      </c>
      <c r="C7" s="61"/>
      <c r="D7" s="62">
        <v>186</v>
      </c>
      <c r="E7" s="62">
        <v>108</v>
      </c>
      <c r="F7" s="62">
        <v>92</v>
      </c>
      <c r="G7" s="62">
        <v>122</v>
      </c>
      <c r="H7" s="62">
        <v>190</v>
      </c>
      <c r="I7" s="62">
        <v>71</v>
      </c>
      <c r="J7" s="62">
        <v>21</v>
      </c>
      <c r="K7" s="62">
        <v>37</v>
      </c>
      <c r="L7" s="62">
        <v>24</v>
      </c>
      <c r="M7" s="62">
        <v>178</v>
      </c>
      <c r="N7" s="62">
        <v>92</v>
      </c>
      <c r="O7" s="62">
        <v>97</v>
      </c>
      <c r="P7" s="102">
        <f>SUM(Revenue[[#This Row],[Jan]:[Dec]])</f>
        <v>1218</v>
      </c>
      <c r="Q7" s="78">
        <v>0.12</v>
      </c>
      <c r="R7" s="107">
        <f>IFERROR(Revenue[[#This Row],[Jan]]/Revenue[[#Totals],[Jan]],"-")</f>
        <v>0.298076923076923</v>
      </c>
      <c r="S7" s="78">
        <f>IFERROR(Revenue[[#This Row],[Feb]]/Revenue[[#Totals],[Feb]],"-")</f>
        <v>0.146739130434783</v>
      </c>
      <c r="T7" s="78">
        <f>IFERROR(Revenue[[#This Row],[Mar]]/Revenue[[#Totals],[Mar]],"-")</f>
        <v>0.11219512195122</v>
      </c>
      <c r="U7" s="78">
        <f>IFERROR(Revenue[[#This Row],[Apr]]/Revenue[[#Totals],[Apr]],"-")</f>
        <v>0.199672667757774</v>
      </c>
      <c r="V7" s="78">
        <f>IFERROR(Revenue[[#This Row],[May]]/Revenue[[#Totals],[May]],"-")</f>
        <v>0.233990147783251</v>
      </c>
      <c r="W7" s="78">
        <f>IFERROR(Revenue[[#This Row],[Jun]]/Revenue[[#Totals],[Jun]],"-")</f>
        <v>0.122837370242215</v>
      </c>
      <c r="X7" s="78">
        <f>IFERROR(Revenue[[#This Row],[Jul]]/Revenue[[#Totals],[Jul]],"-")</f>
        <v>0.0351758793969849</v>
      </c>
      <c r="Y7" s="78">
        <f>IFERROR(Revenue[[#This Row],[Aug]]/Revenue[[#Totals],[Aug]],"-")</f>
        <v>0.0548148148148148</v>
      </c>
      <c r="Z7" s="78">
        <f>IFERROR(Revenue[[#This Row],[Sep]]/Revenue[[#Totals],[Sep]],"-")</f>
        <v>0.032258064516129</v>
      </c>
      <c r="AA7" s="78">
        <f>IFERROR(Revenue[[#This Row],[Oct]]/Revenue[[#Totals],[Oct]],"-")</f>
        <v>0.261380323054332</v>
      </c>
      <c r="AB7" s="78">
        <f>IFERROR(Revenue[[#This Row],[Nov]]/Revenue[[#Totals],[Nov]],"-")</f>
        <v>0.124492557510149</v>
      </c>
      <c r="AC7" s="78">
        <f>IFERROR(Revenue[[#This Row],[Dec]]/Revenue[[#Totals],[Dec]],"-")</f>
        <v>0.0930009587727709</v>
      </c>
      <c r="AD7" s="112">
        <f>IFERROR(Revenue[[#This Row],[Yearly]]/Revenue[[#Totals],[Yearly]],"-")</f>
        <v>0.140646651270208</v>
      </c>
    </row>
    <row r="8" customHeight="1" spans="2:30">
      <c r="B8" s="60" t="s">
        <v>38</v>
      </c>
      <c r="C8" s="61"/>
      <c r="D8" s="62">
        <v>15</v>
      </c>
      <c r="E8" s="62">
        <v>16</v>
      </c>
      <c r="F8" s="62">
        <v>198</v>
      </c>
      <c r="G8" s="62">
        <v>44</v>
      </c>
      <c r="H8" s="62">
        <v>25</v>
      </c>
      <c r="I8" s="62">
        <v>68</v>
      </c>
      <c r="J8" s="62">
        <v>43</v>
      </c>
      <c r="K8" s="62">
        <v>119</v>
      </c>
      <c r="L8" s="62">
        <v>37</v>
      </c>
      <c r="M8" s="62">
        <v>118</v>
      </c>
      <c r="N8" s="62">
        <v>29</v>
      </c>
      <c r="O8" s="62">
        <v>171</v>
      </c>
      <c r="P8" s="102">
        <f>SUM(Revenue[[#This Row],[Jan]:[Dec]])</f>
        <v>883</v>
      </c>
      <c r="Q8" s="78">
        <v>0.18</v>
      </c>
      <c r="R8" s="107">
        <f>IFERROR(Revenue[[#This Row],[Jan]]/Revenue[[#Totals],[Jan]],"-")</f>
        <v>0.0240384615384615</v>
      </c>
      <c r="S8" s="78">
        <f>IFERROR(Revenue[[#This Row],[Feb]]/Revenue[[#Totals],[Feb]],"-")</f>
        <v>0.0217391304347826</v>
      </c>
      <c r="T8" s="78">
        <f>IFERROR(Revenue[[#This Row],[Mar]]/Revenue[[#Totals],[Mar]],"-")</f>
        <v>0.241463414634146</v>
      </c>
      <c r="U8" s="78">
        <f>IFERROR(Revenue[[#This Row],[Apr]]/Revenue[[#Totals],[Apr]],"-")</f>
        <v>0.072013093289689</v>
      </c>
      <c r="V8" s="78">
        <f>IFERROR(Revenue[[#This Row],[May]]/Revenue[[#Totals],[May]],"-")</f>
        <v>0.0307881773399015</v>
      </c>
      <c r="W8" s="78">
        <f>IFERROR(Revenue[[#This Row],[Jun]]/Revenue[[#Totals],[Jun]],"-")</f>
        <v>0.117647058823529</v>
      </c>
      <c r="X8" s="78">
        <f>IFERROR(Revenue[[#This Row],[Jul]]/Revenue[[#Totals],[Jul]],"-")</f>
        <v>0.0720268006700168</v>
      </c>
      <c r="Y8" s="78">
        <f>IFERROR(Revenue[[#This Row],[Aug]]/Revenue[[#Totals],[Aug]],"-")</f>
        <v>0.176296296296296</v>
      </c>
      <c r="Z8" s="78">
        <f>IFERROR(Revenue[[#This Row],[Sep]]/Revenue[[#Totals],[Sep]],"-")</f>
        <v>0.0497311827956989</v>
      </c>
      <c r="AA8" s="78">
        <f>IFERROR(Revenue[[#This Row],[Oct]]/Revenue[[#Totals],[Oct]],"-")</f>
        <v>0.173274596182085</v>
      </c>
      <c r="AB8" s="78">
        <f>IFERROR(Revenue[[#This Row],[Nov]]/Revenue[[#Totals],[Nov]],"-")</f>
        <v>0.0392422192151556</v>
      </c>
      <c r="AC8" s="78">
        <f>IFERROR(Revenue[[#This Row],[Dec]]/Revenue[[#Totals],[Dec]],"-")</f>
        <v>0.163950143815916</v>
      </c>
      <c r="AD8" s="112">
        <f>IFERROR(Revenue[[#This Row],[Yearly]]/Revenue[[#Totals],[Yearly]],"-")</f>
        <v>0.101963048498845</v>
      </c>
    </row>
    <row r="9" customHeight="1" spans="2:30">
      <c r="B9" s="60" t="s">
        <v>39</v>
      </c>
      <c r="C9" s="61"/>
      <c r="D9" s="62">
        <v>166</v>
      </c>
      <c r="E9" s="62">
        <v>185</v>
      </c>
      <c r="F9" s="62">
        <v>89</v>
      </c>
      <c r="G9" s="62">
        <v>170</v>
      </c>
      <c r="H9" s="62">
        <v>131</v>
      </c>
      <c r="I9" s="62">
        <v>70</v>
      </c>
      <c r="J9" s="62">
        <v>50</v>
      </c>
      <c r="K9" s="62">
        <v>149</v>
      </c>
      <c r="L9" s="62">
        <v>179</v>
      </c>
      <c r="M9" s="62">
        <v>104</v>
      </c>
      <c r="N9" s="62">
        <v>119</v>
      </c>
      <c r="O9" s="62">
        <v>187</v>
      </c>
      <c r="P9" s="102">
        <f>SUM(Revenue[[#This Row],[Jan]:[Dec]])</f>
        <v>1599</v>
      </c>
      <c r="Q9" s="78">
        <v>0.19</v>
      </c>
      <c r="R9" s="107">
        <f>IFERROR(Revenue[[#This Row],[Jan]]/Revenue[[#Totals],[Jan]],"-")</f>
        <v>0.266025641025641</v>
      </c>
      <c r="S9" s="78">
        <f>IFERROR(Revenue[[#This Row],[Feb]]/Revenue[[#Totals],[Feb]],"-")</f>
        <v>0.251358695652174</v>
      </c>
      <c r="T9" s="78">
        <f>IFERROR(Revenue[[#This Row],[Mar]]/Revenue[[#Totals],[Mar]],"-")</f>
        <v>0.108536585365854</v>
      </c>
      <c r="U9" s="78">
        <f>IFERROR(Revenue[[#This Row],[Apr]]/Revenue[[#Totals],[Apr]],"-")</f>
        <v>0.27823240589198</v>
      </c>
      <c r="V9" s="78">
        <f>IFERROR(Revenue[[#This Row],[May]]/Revenue[[#Totals],[May]],"-")</f>
        <v>0.161330049261084</v>
      </c>
      <c r="W9" s="78">
        <f>IFERROR(Revenue[[#This Row],[Jun]]/Revenue[[#Totals],[Jun]],"-")</f>
        <v>0.121107266435986</v>
      </c>
      <c r="X9" s="78">
        <f>IFERROR(Revenue[[#This Row],[Jul]]/Revenue[[#Totals],[Jul]],"-")</f>
        <v>0.0837520938023451</v>
      </c>
      <c r="Y9" s="78">
        <f>IFERROR(Revenue[[#This Row],[Aug]]/Revenue[[#Totals],[Aug]],"-")</f>
        <v>0.220740740740741</v>
      </c>
      <c r="Z9" s="78">
        <f>IFERROR(Revenue[[#This Row],[Sep]]/Revenue[[#Totals],[Sep]],"-")</f>
        <v>0.240591397849462</v>
      </c>
      <c r="AA9" s="78">
        <f>IFERROR(Revenue[[#This Row],[Oct]]/Revenue[[#Totals],[Oct]],"-")</f>
        <v>0.152716593245228</v>
      </c>
      <c r="AB9" s="78">
        <f>IFERROR(Revenue[[#This Row],[Nov]]/Revenue[[#Totals],[Nov]],"-")</f>
        <v>0.161028416779432</v>
      </c>
      <c r="AC9" s="78">
        <f>IFERROR(Revenue[[#This Row],[Dec]]/Revenue[[#Totals],[Dec]],"-")</f>
        <v>0.179290508149569</v>
      </c>
      <c r="AD9" s="112">
        <f>IFERROR(Revenue[[#This Row],[Yearly]]/Revenue[[#Totals],[Yearly]],"-")</f>
        <v>0.184642032332564</v>
      </c>
    </row>
    <row r="10" customHeight="1" spans="2:30">
      <c r="B10" s="60" t="s">
        <v>40</v>
      </c>
      <c r="C10" s="61"/>
      <c r="D10" s="62">
        <v>21</v>
      </c>
      <c r="E10" s="62">
        <v>113</v>
      </c>
      <c r="F10" s="62">
        <v>83</v>
      </c>
      <c r="G10" s="62">
        <v>17</v>
      </c>
      <c r="H10" s="62">
        <v>130</v>
      </c>
      <c r="I10" s="62">
        <v>26</v>
      </c>
      <c r="J10" s="62">
        <v>167</v>
      </c>
      <c r="K10" s="62">
        <v>102</v>
      </c>
      <c r="L10" s="62">
        <v>82</v>
      </c>
      <c r="M10" s="62">
        <v>33</v>
      </c>
      <c r="N10" s="62">
        <v>88</v>
      </c>
      <c r="O10" s="62">
        <v>193</v>
      </c>
      <c r="P10" s="102">
        <f>SUM(Revenue[[#This Row],[Jan]:[Dec]])</f>
        <v>1055</v>
      </c>
      <c r="Q10" s="78">
        <v>0.11</v>
      </c>
      <c r="R10" s="107">
        <f>IFERROR(Revenue[[#This Row],[Jan]]/Revenue[[#Totals],[Jan]],"-")</f>
        <v>0.0336538461538462</v>
      </c>
      <c r="S10" s="78">
        <f>IFERROR(Revenue[[#This Row],[Feb]]/Revenue[[#Totals],[Feb]],"-")</f>
        <v>0.153532608695652</v>
      </c>
      <c r="T10" s="78">
        <f>IFERROR(Revenue[[#This Row],[Mar]]/Revenue[[#Totals],[Mar]],"-")</f>
        <v>0.101219512195122</v>
      </c>
      <c r="U10" s="78">
        <f>IFERROR(Revenue[[#This Row],[Apr]]/Revenue[[#Totals],[Apr]],"-")</f>
        <v>0.027823240589198</v>
      </c>
      <c r="V10" s="78">
        <f>IFERROR(Revenue[[#This Row],[May]]/Revenue[[#Totals],[May]],"-")</f>
        <v>0.160098522167488</v>
      </c>
      <c r="W10" s="78">
        <f>IFERROR(Revenue[[#This Row],[Jun]]/Revenue[[#Totals],[Jun]],"-")</f>
        <v>0.0449826989619377</v>
      </c>
      <c r="X10" s="78">
        <f>IFERROR(Revenue[[#This Row],[Jul]]/Revenue[[#Totals],[Jul]],"-")</f>
        <v>0.279731993299833</v>
      </c>
      <c r="Y10" s="78">
        <f>IFERROR(Revenue[[#This Row],[Aug]]/Revenue[[#Totals],[Aug]],"-")</f>
        <v>0.151111111111111</v>
      </c>
      <c r="Z10" s="78">
        <f>IFERROR(Revenue[[#This Row],[Sep]]/Revenue[[#Totals],[Sep]],"-")</f>
        <v>0.110215053763441</v>
      </c>
      <c r="AA10" s="78">
        <f>IFERROR(Revenue[[#This Row],[Oct]]/Revenue[[#Totals],[Oct]],"-")</f>
        <v>0.0484581497797357</v>
      </c>
      <c r="AB10" s="78">
        <f>IFERROR(Revenue[[#This Row],[Nov]]/Revenue[[#Totals],[Nov]],"-")</f>
        <v>0.119079837618403</v>
      </c>
      <c r="AC10" s="78">
        <f>IFERROR(Revenue[[#This Row],[Dec]]/Revenue[[#Totals],[Dec]],"-")</f>
        <v>0.185043144774688</v>
      </c>
      <c r="AD10" s="112">
        <f>IFERROR(Revenue[[#This Row],[Yearly]]/Revenue[[#Totals],[Yearly]],"-")</f>
        <v>0.121824480369515</v>
      </c>
    </row>
    <row r="11" customHeight="1" spans="2:30">
      <c r="B11" s="60" t="s">
        <v>41</v>
      </c>
      <c r="C11" s="61"/>
      <c r="D11" s="62">
        <v>70</v>
      </c>
      <c r="E11" s="62">
        <v>160</v>
      </c>
      <c r="F11" s="62">
        <v>125</v>
      </c>
      <c r="G11" s="62">
        <v>84</v>
      </c>
      <c r="H11" s="62">
        <v>191</v>
      </c>
      <c r="I11" s="62">
        <v>97</v>
      </c>
      <c r="J11" s="62">
        <v>52</v>
      </c>
      <c r="K11" s="62">
        <v>45</v>
      </c>
      <c r="L11" s="62">
        <v>173</v>
      </c>
      <c r="M11" s="62">
        <v>136</v>
      </c>
      <c r="N11" s="62">
        <v>144</v>
      </c>
      <c r="O11" s="62">
        <v>167</v>
      </c>
      <c r="P11" s="102">
        <f>SUM(Revenue[[#This Row],[Jan]:[Dec]])</f>
        <v>1444</v>
      </c>
      <c r="Q11" s="78">
        <v>0.2</v>
      </c>
      <c r="R11" s="107">
        <f>IFERROR(Revenue[[#This Row],[Jan]]/Revenue[[#Totals],[Jan]],"-")</f>
        <v>0.112179487179487</v>
      </c>
      <c r="S11" s="78">
        <f>IFERROR(Revenue[[#This Row],[Feb]]/Revenue[[#Totals],[Feb]],"-")</f>
        <v>0.217391304347826</v>
      </c>
      <c r="T11" s="78">
        <f>IFERROR(Revenue[[#This Row],[Mar]]/Revenue[[#Totals],[Mar]],"-")</f>
        <v>0.152439024390244</v>
      </c>
      <c r="U11" s="78">
        <f>IFERROR(Revenue[[#This Row],[Apr]]/Revenue[[#Totals],[Apr]],"-")</f>
        <v>0.137479541734861</v>
      </c>
      <c r="V11" s="78">
        <f>IFERROR(Revenue[[#This Row],[May]]/Revenue[[#Totals],[May]],"-")</f>
        <v>0.235221674876847</v>
      </c>
      <c r="W11" s="78">
        <f>IFERROR(Revenue[[#This Row],[Jun]]/Revenue[[#Totals],[Jun]],"-")</f>
        <v>0.167820069204152</v>
      </c>
      <c r="X11" s="78">
        <f>IFERROR(Revenue[[#This Row],[Jul]]/Revenue[[#Totals],[Jul]],"-")</f>
        <v>0.0871021775544389</v>
      </c>
      <c r="Y11" s="78">
        <f>IFERROR(Revenue[[#This Row],[Aug]]/Revenue[[#Totals],[Aug]],"-")</f>
        <v>0.0666666666666667</v>
      </c>
      <c r="Z11" s="78">
        <f>IFERROR(Revenue[[#This Row],[Sep]]/Revenue[[#Totals],[Sep]],"-")</f>
        <v>0.23252688172043</v>
      </c>
      <c r="AA11" s="78">
        <f>IFERROR(Revenue[[#This Row],[Oct]]/Revenue[[#Totals],[Oct]],"-")</f>
        <v>0.199706314243759</v>
      </c>
      <c r="AB11" s="78">
        <f>IFERROR(Revenue[[#This Row],[Nov]]/Revenue[[#Totals],[Nov]],"-")</f>
        <v>0.194857916102842</v>
      </c>
      <c r="AC11" s="78">
        <f>IFERROR(Revenue[[#This Row],[Dec]]/Revenue[[#Totals],[Dec]],"-")</f>
        <v>0.160115052732502</v>
      </c>
      <c r="AD11" s="112">
        <f>IFERROR(Revenue[[#This Row],[Yearly]]/Revenue[[#Totals],[Yearly]],"-")</f>
        <v>0.166743648960739</v>
      </c>
    </row>
    <row r="12" customHeight="1" spans="2:30">
      <c r="B12" s="60" t="s">
        <v>42</v>
      </c>
      <c r="C12" s="61"/>
      <c r="D12" s="62">
        <v>61</v>
      </c>
      <c r="E12" s="62">
        <v>99</v>
      </c>
      <c r="F12" s="62">
        <v>70</v>
      </c>
      <c r="G12" s="62">
        <v>162</v>
      </c>
      <c r="H12" s="62">
        <v>28</v>
      </c>
      <c r="I12" s="62">
        <v>163</v>
      </c>
      <c r="J12" s="62">
        <v>101</v>
      </c>
      <c r="K12" s="62">
        <v>103</v>
      </c>
      <c r="L12" s="62">
        <v>78</v>
      </c>
      <c r="M12" s="62">
        <v>33</v>
      </c>
      <c r="N12" s="62">
        <v>162</v>
      </c>
      <c r="O12" s="62">
        <v>159</v>
      </c>
      <c r="P12" s="102">
        <f>SUM(Revenue[[#This Row],[Jan]:[Dec]])</f>
        <v>1219</v>
      </c>
      <c r="Q12" s="78">
        <v>0.1</v>
      </c>
      <c r="R12" s="107">
        <f>IFERROR(Revenue[[#This Row],[Jan]]/Revenue[[#Totals],[Jan]],"-")</f>
        <v>0.0977564102564103</v>
      </c>
      <c r="S12" s="78">
        <f>IFERROR(Revenue[[#This Row],[Feb]]/Revenue[[#Totals],[Feb]],"-")</f>
        <v>0.134510869565217</v>
      </c>
      <c r="T12" s="78">
        <f>IFERROR(Revenue[[#This Row],[Mar]]/Revenue[[#Totals],[Mar]],"-")</f>
        <v>0.0853658536585366</v>
      </c>
      <c r="U12" s="78">
        <f>IFERROR(Revenue[[#This Row],[Apr]]/Revenue[[#Totals],[Apr]],"-")</f>
        <v>0.265139116202946</v>
      </c>
      <c r="V12" s="78">
        <f>IFERROR(Revenue[[#This Row],[May]]/Revenue[[#Totals],[May]],"-")</f>
        <v>0.0344827586206897</v>
      </c>
      <c r="W12" s="78">
        <f>IFERROR(Revenue[[#This Row],[Jun]]/Revenue[[#Totals],[Jun]],"-")</f>
        <v>0.282006920415225</v>
      </c>
      <c r="X12" s="78">
        <f>IFERROR(Revenue[[#This Row],[Jul]]/Revenue[[#Totals],[Jul]],"-")</f>
        <v>0.169179229480737</v>
      </c>
      <c r="Y12" s="78">
        <f>IFERROR(Revenue[[#This Row],[Aug]]/Revenue[[#Totals],[Aug]],"-")</f>
        <v>0.152592592592593</v>
      </c>
      <c r="Z12" s="78">
        <f>IFERROR(Revenue[[#This Row],[Sep]]/Revenue[[#Totals],[Sep]],"-")</f>
        <v>0.104838709677419</v>
      </c>
      <c r="AA12" s="78">
        <f>IFERROR(Revenue[[#This Row],[Oct]]/Revenue[[#Totals],[Oct]],"-")</f>
        <v>0.0484581497797357</v>
      </c>
      <c r="AB12" s="78">
        <f>IFERROR(Revenue[[#This Row],[Nov]]/Revenue[[#Totals],[Nov]],"-")</f>
        <v>0.219215155615697</v>
      </c>
      <c r="AC12" s="78">
        <f>IFERROR(Revenue[[#This Row],[Dec]]/Revenue[[#Totals],[Dec]],"-")</f>
        <v>0.152444870565676</v>
      </c>
      <c r="AD12" s="112">
        <f>IFERROR(Revenue[[#This Row],[Yearly]]/Revenue[[#Totals],[Yearly]],"-")</f>
        <v>0.140762124711316</v>
      </c>
    </row>
    <row r="13" customHeight="1" spans="2:30">
      <c r="B13" s="60" t="s">
        <v>43</v>
      </c>
      <c r="C13" s="61"/>
      <c r="D13" s="62">
        <v>105</v>
      </c>
      <c r="E13" s="62">
        <v>55</v>
      </c>
      <c r="F13" s="62">
        <v>163</v>
      </c>
      <c r="G13" s="62">
        <v>12</v>
      </c>
      <c r="H13" s="62">
        <v>117</v>
      </c>
      <c r="I13" s="62">
        <v>83</v>
      </c>
      <c r="J13" s="62">
        <v>163</v>
      </c>
      <c r="K13" s="62">
        <v>120</v>
      </c>
      <c r="L13" s="62">
        <v>171</v>
      </c>
      <c r="M13" s="62">
        <v>79</v>
      </c>
      <c r="N13" s="62">
        <v>105</v>
      </c>
      <c r="O13" s="62">
        <v>69</v>
      </c>
      <c r="P13" s="102">
        <f>SUM(Revenue[[#This Row],[Jan]:[Dec]])</f>
        <v>1242</v>
      </c>
      <c r="Q13" s="78">
        <v>0.1</v>
      </c>
      <c r="R13" s="107">
        <f>IFERROR(Revenue[[#This Row],[Jan]]/Revenue[[#Totals],[Jan]],"-")</f>
        <v>0.168269230769231</v>
      </c>
      <c r="S13" s="78">
        <f>IFERROR(Revenue[[#This Row],[Feb]]/Revenue[[#Totals],[Feb]],"-")</f>
        <v>0.0747282608695652</v>
      </c>
      <c r="T13" s="78">
        <f>IFERROR(Revenue[[#This Row],[Mar]]/Revenue[[#Totals],[Mar]],"-")</f>
        <v>0.198780487804878</v>
      </c>
      <c r="U13" s="78">
        <f>IFERROR(Revenue[[#This Row],[Apr]]/Revenue[[#Totals],[Apr]],"-")</f>
        <v>0.0196399345335516</v>
      </c>
      <c r="V13" s="78">
        <f>IFERROR(Revenue[[#This Row],[May]]/Revenue[[#Totals],[May]],"-")</f>
        <v>0.144088669950739</v>
      </c>
      <c r="W13" s="78">
        <f>IFERROR(Revenue[[#This Row],[Jun]]/Revenue[[#Totals],[Jun]],"-")</f>
        <v>0.143598615916955</v>
      </c>
      <c r="X13" s="78">
        <f>IFERROR(Revenue[[#This Row],[Jul]]/Revenue[[#Totals],[Jul]],"-")</f>
        <v>0.273031825795645</v>
      </c>
      <c r="Y13" s="78">
        <f>IFERROR(Revenue[[#This Row],[Aug]]/Revenue[[#Totals],[Aug]],"-")</f>
        <v>0.177777777777778</v>
      </c>
      <c r="Z13" s="78">
        <f>IFERROR(Revenue[[#This Row],[Sep]]/Revenue[[#Totals],[Sep]],"-")</f>
        <v>0.229838709677419</v>
      </c>
      <c r="AA13" s="78">
        <f>IFERROR(Revenue[[#This Row],[Oct]]/Revenue[[#Totals],[Oct]],"-")</f>
        <v>0.116005873715125</v>
      </c>
      <c r="AB13" s="78">
        <f>IFERROR(Revenue[[#This Row],[Nov]]/Revenue[[#Totals],[Nov]],"-")</f>
        <v>0.142083897158322</v>
      </c>
      <c r="AC13" s="78">
        <f>IFERROR(Revenue[[#This Row],[Dec]]/Revenue[[#Totals],[Dec]],"-")</f>
        <v>0.0661553211888782</v>
      </c>
      <c r="AD13" s="112">
        <f>IFERROR(Revenue[[#This Row],[Yearly]]/Revenue[[#Totals],[Yearly]],"-")</f>
        <v>0.143418013856813</v>
      </c>
    </row>
    <row r="14" s="1" customFormat="1" customHeight="1" spans="2:30">
      <c r="B14" s="98" t="s">
        <v>44</v>
      </c>
      <c r="C14" s="64"/>
      <c r="D14" s="65">
        <f>SUBTOTAL(109,Revenue[Jan])</f>
        <v>624</v>
      </c>
      <c r="E14" s="65">
        <f>SUBTOTAL(109,Revenue[Feb])</f>
        <v>736</v>
      </c>
      <c r="F14" s="65">
        <f>SUBTOTAL(109,Revenue[Mar])</f>
        <v>820</v>
      </c>
      <c r="G14" s="65">
        <f>SUBTOTAL(109,Revenue[Apr])</f>
        <v>611</v>
      </c>
      <c r="H14" s="65">
        <f>SUBTOTAL(109,Revenue[May])</f>
        <v>812</v>
      </c>
      <c r="I14" s="65">
        <f>SUBTOTAL(109,Revenue[Jun])</f>
        <v>578</v>
      </c>
      <c r="J14" s="65">
        <f>SUBTOTAL(109,Revenue[Jul])</f>
        <v>597</v>
      </c>
      <c r="K14" s="65">
        <f>SUBTOTAL(109,Revenue[Aug])</f>
        <v>675</v>
      </c>
      <c r="L14" s="65">
        <f>SUBTOTAL(109,Revenue[Sep])</f>
        <v>744</v>
      </c>
      <c r="M14" s="65">
        <f>SUBTOTAL(109,Revenue[Oct])</f>
        <v>681</v>
      </c>
      <c r="N14" s="65">
        <f>SUBTOTAL(109,Revenue[Nov])</f>
        <v>739</v>
      </c>
      <c r="O14" s="65">
        <f>SUBTOTAL(109,Revenue[Dec])</f>
        <v>1043</v>
      </c>
      <c r="P14" s="103">
        <f>SUBTOTAL(109,Revenue[Yearly])</f>
        <v>8660</v>
      </c>
      <c r="Q14" s="80">
        <f>SUBTOTAL(109,Revenue[Index %])</f>
        <v>1</v>
      </c>
      <c r="R14" s="108">
        <f>SUBTOTAL(109,Revenue[Jan %])</f>
        <v>1</v>
      </c>
      <c r="S14" s="109">
        <f>SUBTOTAL(109,Revenue[Feb %])</f>
        <v>1</v>
      </c>
      <c r="T14" s="109">
        <f>SUBTOTAL(109,Revenue[Mar %])</f>
        <v>1</v>
      </c>
      <c r="U14" s="109">
        <f>SUBTOTAL(109,Revenue[Apr %])</f>
        <v>1</v>
      </c>
      <c r="V14" s="109">
        <f>SUBTOTAL(109,Revenue[May %])</f>
        <v>1</v>
      </c>
      <c r="W14" s="109">
        <f>SUBTOTAL(109,Revenue[Jun %])</f>
        <v>1</v>
      </c>
      <c r="X14" s="109">
        <f>SUBTOTAL(109,Revenue[Jul %])</f>
        <v>1</v>
      </c>
      <c r="Y14" s="109">
        <f>SUBTOTAL(109,Revenue[Aug %])</f>
        <v>1</v>
      </c>
      <c r="Z14" s="109">
        <f>SUBTOTAL(109,Revenue[Sep %])</f>
        <v>1</v>
      </c>
      <c r="AA14" s="109">
        <f>SUBTOTAL(109,Revenue[Oct %])</f>
        <v>1</v>
      </c>
      <c r="AB14" s="109">
        <f>SUBTOTAL(109,Revenue[Nov %])</f>
        <v>1</v>
      </c>
      <c r="AC14" s="109">
        <f>SUBTOTAL(109,Revenue[Dec %])</f>
        <v>1</v>
      </c>
      <c r="AD14" s="113">
        <f>SUBTOTAL(109,Revenue[Year %])</f>
        <v>1</v>
      </c>
    </row>
  </sheetData>
  <dataValidations count="19">
    <dataValidation allowBlank="1" showInputMessage="1" showErrorMessage="1" prompt="Projection title is in this cell. Enter values in the Revenue table, below, to calculate total sales" sqref="B3"/>
    <dataValidation allowBlank="1" showInputMessage="1" showErrorMessage="1" prompt="Annual revenue is automatically calculated in this column" sqref="P5"/>
    <dataValidation allowBlank="1" showInputMessage="1" showErrorMessage="1" prompt="This worksheet calculates total sales for each month &amp; year, &amp; total annual sales from different sources. Enter fiscal year starting month in cell AC2 &amp; year in cell AD2" sqref="A2"/>
    <dataValidation allowBlank="1" showInputMessage="1" showErrorMessage="1" prompt="This worksheet calculates total sales for each month &amp; year, &amp; total annual sales from different sources. Enter fiscal year starting month in cell F2 &amp; year in cell G2" sqref="A1"/>
    <dataValidation allowBlank="1" showInputMessage="1" showErrorMessage="1" prompt="Select fiscal year starting month in cell AC2 and enter a year in cell AD2 at right of this label" sqref="E2;AB4"/>
    <dataValidation allowBlank="1" showInputMessage="1" showErrorMessage="1" prompt="Enter company name in this cell" sqref="B1"/>
    <dataValidation allowBlank="1" showInputMessage="1" showErrorMessage="1" prompt="Enter a title for the projection period for which total sales are calculated" sqref="B2"/>
    <dataValidation type="list" allowBlank="1" showInputMessage="1" showErrorMessage="1" error="Select month from the drop down list. Select CANCEL, then press ALT+DOWN ARROW. Press ENTER to select a month" prompt="Select month in this cell. Press ALT+DOWN ARROW to open the drop down list, then ENTER to select a month" sqref="F2;AC4" errorStyle="warning">
      <formula1>"JAN,FEB,MAR,APR,MAY,JUN,JUL,AUG,SEP,OCT,NOV,DEC"</formula1>
    </dataValidation>
    <dataValidation allowBlank="1" showInputMessage="1" errorTitle="Unknown Year" error="Please select a year from the drop down list. To add or remove a year from the list, on the Data tab, in the Data Tools group, click Data Validation." prompt="Enter year in this cell" sqref="G2;AD4" errorStyle="information"/>
    <dataValidation allowBlank="1" showInputMessage="1" showErrorMessage="1" prompt="The dates in this row are automatically updated based on the starting month of fiscal year. To change starting month, modify cell AC2" sqref="D5"/>
    <dataValidation allowBlank="1" showInputMessage="1" showErrorMessage="1" prompt="Automatically updated month" sqref="E5:O5"/>
    <dataValidation allowBlank="1" showInputMessage="1" showErrorMessage="1" prompt="Index percent is in this column" sqref="Q5"/>
    <dataValidation allowBlank="1" showInputMessage="1" showErrorMessage="1" prompt="Automatically calculates proportion of sales from different sources to total sales in this column for the month in this cell" sqref="R5:AC5"/>
    <dataValidation allowBlank="1" showInputMessage="1" showErrorMessage="1" prompt="Enter revenue for sources listed in column B in this column" sqref="D6:O6"/>
    <dataValidation allowBlank="1" showInputMessage="1" showErrorMessage="1" prompt="Automatically calculates proportion of sales from different sources to total sales for the year in this column" sqref="AD5"/>
    <dataValidation allowBlank="1" showInputMessage="1" showErrorMessage="1" prompt="Enter revenue generated by sales in this column" sqref="B6"/>
    <dataValidation allowBlank="1" showInputMessage="1" showErrorMessage="1" prompt="A trend chart for revenue over time is in this column" sqref="C6"/>
    <dataValidation allowBlank="1" showInputMessage="1" showErrorMessage="1" prompt="Enter index percent in this column" sqref="Q6"/>
    <dataValidation allowBlank="1" showInputMessage="1" showErrorMessage="1" prompt="This worksheet calculates total sales for each month &amp; year, and total annual sales from different sources. Select fiscal year starting month in cell AC2 &amp; year in cell AD2" sqref="A3:A4;A6:A1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type="line" displayEmptyCellsAs="gap" high="1" low="1" negative="1">
          <x14:colorSeries theme="5" tint="-0.499984740745262"/>
          <x14:colorNegative theme="0"/>
          <x14:colorAxis rgb="FF000000"/>
          <x14:colorMarkers theme="4" tint="-0.499984740745262"/>
          <x14:colorFirst theme="4" tint="0.399975585192419"/>
          <x14:colorLast theme="4" tint="0.399975585192419"/>
          <x14:colorHigh theme="5" tint="-0.499984740745262"/>
          <x14:colorLow theme="5" tint="-0.499984740745262"/>
          <x14:sparklines>
            <x14:sparkline>
              <xm:f>'Revenues (Sales)'!D14:O14</xm:f>
              <xm:sqref>C14</xm:sqref>
            </x14:sparkline>
          </x14:sparklines>
        </x14:sparklineGroup>
        <x14:sparklineGroup lineWeight="1" type="line" displayEmptyCellsAs="gap" high="1" low="1">
          <x14:colorSeries theme="5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5" tint="-0.499984740745262"/>
          <x14:colorLow theme="5" tint="-0.499984740745262"/>
          <x14:sparklines>
            <x14:sparkline>
              <xm:f>'Revenues (Sales)'!$D$7:$O$7</xm:f>
              <xm:sqref>C7</xm:sqref>
            </x14:sparkline>
            <x14:sparkline>
              <xm:f>'Revenues (Sales)'!$D$8:$O$8</xm:f>
              <xm:sqref>C8</xm:sqref>
            </x14:sparkline>
            <x14:sparkline>
              <xm:f>'Revenues (Sales)'!$D$9:$O$9</xm:f>
              <xm:sqref>C9</xm:sqref>
            </x14:sparkline>
            <x14:sparkline>
              <xm:f>'Revenues (Sales)'!$D$10:$O$10</xm:f>
              <xm:sqref>C10</xm:sqref>
            </x14:sparkline>
            <x14:sparkline>
              <xm:f>'Revenues (Sales)'!$D$11:$O$11</xm:f>
              <xm:sqref>C11</xm:sqref>
            </x14:sparkline>
            <x14:sparkline>
              <xm:f>'Revenues (Sales)'!$D$12:$O$12</xm:f>
              <xm:sqref>C12</xm:sqref>
            </x14:sparkline>
            <x14:sparkline>
              <xm:f>'Revenues (Sales)'!$D$13:$O$13</xm:f>
              <xm:sqref>C13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AF16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29">
      <c r="A2" s="2"/>
      <c r="B2" s="51" t="str">
        <f>Projection_Period_Title</f>
        <v>Twelve Month</v>
      </c>
      <c r="C2" s="52"/>
      <c r="D2" s="52"/>
      <c r="E2" s="53" t="s">
        <v>45</v>
      </c>
      <c r="F2" s="54" t="str">
        <f>FYMonthStart</f>
        <v>JAN</v>
      </c>
      <c r="G2" s="54">
        <f ca="1">FYStartYear</f>
        <v>2021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tr">
        <f>Wksht_Title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2">
      <c r="D5" s="56" t="str">
        <f ca="1">UPPER(TEXT(DATE(FYStartYear,FYMonthNo,1),"mmm-yy"))</f>
        <v>JAN-21</v>
      </c>
      <c r="E5" s="56" t="str">
        <f ca="1">UPPER(TEXT(DATE(FYStartYear,FYMonthNo+1,1),"mmm-yy"))</f>
        <v>FEB-21</v>
      </c>
      <c r="F5" s="56" t="str">
        <f ca="1">UPPER(TEXT(DATE(FYStartYear,FYMonthNo+2,1),"mmm-yy"))</f>
        <v>MAR-21</v>
      </c>
      <c r="G5" s="56" t="str">
        <f ca="1">UPPER(TEXT(DATE(FYStartYear,FYMonthNo+3,1),"mmm-yy"))</f>
        <v>APR-21</v>
      </c>
      <c r="H5" s="56" t="str">
        <f ca="1">UPPER(TEXT(DATE(FYStartYear,FYMonthNo+4,1),"mmm-yy"))</f>
        <v>MAY-21</v>
      </c>
      <c r="I5" s="56" t="str">
        <f ca="1">UPPER(TEXT(DATE(FYStartYear,FYMonthNo+5,1),"mmm-yy"))</f>
        <v>JUN-21</v>
      </c>
      <c r="J5" s="56" t="str">
        <f ca="1">UPPER(TEXT(DATE(FYStartYear,FYMonthNo+6,1),"mmm-yy"))</f>
        <v>JUL-21</v>
      </c>
      <c r="K5" s="56" t="str">
        <f ca="1">UPPER(TEXT(DATE(FYStartYear,FYMonthNo+7,1),"mmm-yy"))</f>
        <v>AUG-21</v>
      </c>
      <c r="L5" s="56" t="str">
        <f ca="1">UPPER(TEXT(DATE(FYStartYear,FYMonthNo+8,1),"mmm-yy"))</f>
        <v>SEP-21</v>
      </c>
      <c r="M5" s="56" t="str">
        <f ca="1">UPPER(TEXT(DATE(FYStartYear,FYMonthNo+9,1),"mmm-yy"))</f>
        <v>OCT-21</v>
      </c>
      <c r="N5" s="56" t="str">
        <f ca="1">UPPER(TEXT(DATE(FYStartYear,FYMonthNo+10,1),"mmm-yy"))</f>
        <v>NOV-21</v>
      </c>
      <c r="O5" s="70" t="str">
        <f ca="1">UPPER(TEXT(DATE(FYStartYear,FYMonthNo+11,1),"mmm-yy"))</f>
        <v>DEC-21</v>
      </c>
      <c r="P5" s="71" t="s">
        <v>5</v>
      </c>
      <c r="Q5" s="70" t="s">
        <v>6</v>
      </c>
      <c r="R5" s="75" t="str">
        <f ca="1">LEFT(D5,3)&amp;" %"</f>
        <v>JAN %</v>
      </c>
      <c r="S5" s="76" t="str">
        <f ca="1" t="shared" ref="S5:AC5" si="0">LEFT(E5,3)&amp;" %"</f>
        <v>FEB %</v>
      </c>
      <c r="T5" s="76" t="str">
        <f ca="1" t="shared" si="0"/>
        <v>MAR %</v>
      </c>
      <c r="U5" s="76" t="str">
        <f ca="1" t="shared" si="0"/>
        <v>APR %</v>
      </c>
      <c r="V5" s="76" t="str">
        <f ca="1" t="shared" si="0"/>
        <v>MAY %</v>
      </c>
      <c r="W5" s="76" t="str">
        <f ca="1" t="shared" si="0"/>
        <v>JUN %</v>
      </c>
      <c r="X5" s="76" t="str">
        <f ca="1" t="shared" si="0"/>
        <v>JUL %</v>
      </c>
      <c r="Y5" s="76" t="str">
        <f ca="1" t="shared" si="0"/>
        <v>AUG %</v>
      </c>
      <c r="Z5" s="76" t="str">
        <f ca="1" t="shared" si="0"/>
        <v>SEP %</v>
      </c>
      <c r="AA5" s="76" t="str">
        <f ca="1" t="shared" si="0"/>
        <v>OCT %</v>
      </c>
      <c r="AB5" s="76" t="str">
        <f ca="1" t="shared" si="0"/>
        <v>NOV %</v>
      </c>
      <c r="AC5" s="76" t="str">
        <f ca="1" t="shared" si="0"/>
        <v>DEC %</v>
      </c>
      <c r="AD5" s="86" t="s">
        <v>7</v>
      </c>
      <c r="AE5" s="12"/>
      <c r="AF5" s="12"/>
    </row>
    <row r="6" customHeight="1" spans="2:30">
      <c r="B6" s="57" t="s">
        <v>46</v>
      </c>
      <c r="C6" s="58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72" t="s">
        <v>22</v>
      </c>
      <c r="Q6" s="59" t="s">
        <v>23</v>
      </c>
      <c r="R6" s="77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87" t="s">
        <v>36</v>
      </c>
    </row>
    <row r="7" customHeight="1" spans="2:30">
      <c r="B7" s="60" t="s">
        <v>47</v>
      </c>
      <c r="C7" s="61"/>
      <c r="D7" s="62">
        <v>61</v>
      </c>
      <c r="E7" s="62">
        <v>78</v>
      </c>
      <c r="F7" s="62">
        <v>65</v>
      </c>
      <c r="G7" s="62">
        <v>29</v>
      </c>
      <c r="H7" s="62">
        <v>125</v>
      </c>
      <c r="I7" s="62">
        <v>49</v>
      </c>
      <c r="J7" s="62">
        <v>14</v>
      </c>
      <c r="K7" s="62">
        <v>26</v>
      </c>
      <c r="L7" s="62">
        <v>14</v>
      </c>
      <c r="M7" s="62">
        <v>129</v>
      </c>
      <c r="N7" s="62">
        <v>60</v>
      </c>
      <c r="O7" s="62">
        <v>65</v>
      </c>
      <c r="P7" s="73">
        <f>SUM(CostofSales[[#This Row],[Jan]:[Dec]])</f>
        <v>715</v>
      </c>
      <c r="Q7" s="78">
        <v>0.12</v>
      </c>
      <c r="R7" s="79">
        <f>IFERROR(CostofSales[[#This Row],[Jan]]/CostofSales[[#Totals],[Jan]],"-")</f>
        <v>0.230188679245283</v>
      </c>
      <c r="S7" s="78">
        <f>IFERROR(CostofSales[[#This Row],[Feb]]/CostofSales[[#Totals],[Feb]],"-")</f>
        <v>0.219101123595506</v>
      </c>
      <c r="T7" s="78">
        <f>IFERROR(CostofSales[[#This Row],[Mar]]/CostofSales[[#Totals],[Mar]],"-")</f>
        <v>0.206349206349206</v>
      </c>
      <c r="U7" s="78">
        <f>IFERROR(CostofSales[[#This Row],[Apr]]/CostofSales[[#Totals],[Apr]],"-")</f>
        <v>0.120331950207469</v>
      </c>
      <c r="V7" s="78">
        <f>IFERROR(CostofSales[[#This Row],[May]]/CostofSales[[#Totals],[May]],"-")</f>
        <v>0.31328320802005</v>
      </c>
      <c r="W7" s="78">
        <f>IFERROR(CostofSales[[#This Row],[Jun]]/CostofSales[[#Totals],[Jun]],"-")</f>
        <v>0.157051282051282</v>
      </c>
      <c r="X7" s="78">
        <f>IFERROR(CostofSales[[#This Row],[Jul]]/CostofSales[[#Totals],[Jul]],"-")</f>
        <v>0.0468227424749164</v>
      </c>
      <c r="Y7" s="78">
        <f>IFERROR(CostofSales[[#This Row],[Aug]]/CostofSales[[#Totals],[Aug]],"-")</f>
        <v>0.115044247787611</v>
      </c>
      <c r="Z7" s="78">
        <f>IFERROR(CostofSales[[#This Row],[Sep]]/CostofSales[[#Totals],[Sep]],"-")</f>
        <v>0.0338164251207729</v>
      </c>
      <c r="AA7" s="78">
        <f>IFERROR(CostofSales[[#This Row],[Oct]]/CostofSales[[#Totals],[Oct]],"-")</f>
        <v>0.470802919708029</v>
      </c>
      <c r="AB7" s="78">
        <f>IFERROR(CostofSales[[#This Row],[Nov]]/CostofSales[[#Totals],[Nov]],"-")</f>
        <v>0.227272727272727</v>
      </c>
      <c r="AC7" s="78">
        <f>IFERROR(CostofSales[[#This Row],[Dec]]/CostofSales[[#Totals],[Dec]],"-")</f>
        <v>0.143487858719647</v>
      </c>
      <c r="AD7" s="88">
        <f>IFERROR(CostofSales[[#This Row],[Yearly]]/CostofSales[[#Totals],[Yearly]],"-")</f>
        <v>0.187270822420115</v>
      </c>
    </row>
    <row r="8" customHeight="1" spans="2:30">
      <c r="B8" s="60" t="s">
        <v>48</v>
      </c>
      <c r="C8" s="61"/>
      <c r="D8" s="62">
        <v>7</v>
      </c>
      <c r="E8" s="62">
        <v>5</v>
      </c>
      <c r="F8" s="62">
        <v>69</v>
      </c>
      <c r="G8" s="62">
        <v>32</v>
      </c>
      <c r="H8" s="62">
        <v>11</v>
      </c>
      <c r="I8" s="62">
        <v>30</v>
      </c>
      <c r="J8" s="62">
        <v>27</v>
      </c>
      <c r="K8" s="62">
        <v>32</v>
      </c>
      <c r="L8" s="62">
        <v>10</v>
      </c>
      <c r="M8" s="62">
        <v>41</v>
      </c>
      <c r="N8" s="62">
        <v>13</v>
      </c>
      <c r="O8" s="62">
        <v>105</v>
      </c>
      <c r="P8" s="73">
        <f>SUM(CostofSales[[#This Row],[Jan]:[Dec]])</f>
        <v>382</v>
      </c>
      <c r="Q8" s="78">
        <v>0.18</v>
      </c>
      <c r="R8" s="79">
        <f>IFERROR(CostofSales[[#This Row],[Jan]]/CostofSales[[#Totals],[Jan]],"-")</f>
        <v>0.0264150943396226</v>
      </c>
      <c r="S8" s="78">
        <f>IFERROR(CostofSales[[#This Row],[Feb]]/CostofSales[[#Totals],[Feb]],"-")</f>
        <v>0.0140449438202247</v>
      </c>
      <c r="T8" s="78">
        <f>IFERROR(CostofSales[[#This Row],[Mar]]/CostofSales[[#Totals],[Mar]],"-")</f>
        <v>0.219047619047619</v>
      </c>
      <c r="U8" s="78">
        <f>IFERROR(CostofSales[[#This Row],[Apr]]/CostofSales[[#Totals],[Apr]],"-")</f>
        <v>0.132780082987552</v>
      </c>
      <c r="V8" s="78">
        <f>IFERROR(CostofSales[[#This Row],[May]]/CostofSales[[#Totals],[May]],"-")</f>
        <v>0.0275689223057644</v>
      </c>
      <c r="W8" s="78">
        <f>IFERROR(CostofSales[[#This Row],[Jun]]/CostofSales[[#Totals],[Jun]],"-")</f>
        <v>0.0961538461538462</v>
      </c>
      <c r="X8" s="78">
        <f>IFERROR(CostofSales[[#This Row],[Jul]]/CostofSales[[#Totals],[Jul]],"-")</f>
        <v>0.0903010033444816</v>
      </c>
      <c r="Y8" s="78">
        <f>IFERROR(CostofSales[[#This Row],[Aug]]/CostofSales[[#Totals],[Aug]],"-")</f>
        <v>0.141592920353982</v>
      </c>
      <c r="Z8" s="78">
        <f>IFERROR(CostofSales[[#This Row],[Sep]]/CostofSales[[#Totals],[Sep]],"-")</f>
        <v>0.0241545893719807</v>
      </c>
      <c r="AA8" s="78">
        <f>IFERROR(CostofSales[[#This Row],[Oct]]/CostofSales[[#Totals],[Oct]],"-")</f>
        <v>0.14963503649635</v>
      </c>
      <c r="AB8" s="78">
        <f>IFERROR(CostofSales[[#This Row],[Nov]]/CostofSales[[#Totals],[Nov]],"-")</f>
        <v>0.0492424242424242</v>
      </c>
      <c r="AC8" s="78">
        <f>IFERROR(CostofSales[[#This Row],[Dec]]/CostofSales[[#Totals],[Dec]],"-")</f>
        <v>0.231788079470199</v>
      </c>
      <c r="AD8" s="88">
        <f>IFERROR(CostofSales[[#This Row],[Yearly]]/CostofSales[[#Totals],[Yearly]],"-")</f>
        <v>0.100052383446831</v>
      </c>
    </row>
    <row r="9" customHeight="1" spans="2:30">
      <c r="B9" s="60" t="s">
        <v>49</v>
      </c>
      <c r="C9" s="61"/>
      <c r="D9" s="62">
        <v>99</v>
      </c>
      <c r="E9" s="62">
        <v>95</v>
      </c>
      <c r="F9" s="62">
        <v>51</v>
      </c>
      <c r="G9" s="62">
        <v>90</v>
      </c>
      <c r="H9" s="62">
        <v>21</v>
      </c>
      <c r="I9" s="62">
        <v>34</v>
      </c>
      <c r="J9" s="62">
        <v>30</v>
      </c>
      <c r="K9" s="62">
        <v>24</v>
      </c>
      <c r="L9" s="62">
        <v>109</v>
      </c>
      <c r="M9" s="62">
        <v>16</v>
      </c>
      <c r="N9" s="62">
        <v>21</v>
      </c>
      <c r="O9" s="62">
        <v>52</v>
      </c>
      <c r="P9" s="73">
        <f>SUM(CostofSales[[#This Row],[Jan]:[Dec]])</f>
        <v>642</v>
      </c>
      <c r="Q9" s="78">
        <v>0.19</v>
      </c>
      <c r="R9" s="79">
        <f>IFERROR(CostofSales[[#This Row],[Jan]]/CostofSales[[#Totals],[Jan]],"-")</f>
        <v>0.373584905660377</v>
      </c>
      <c r="S9" s="78">
        <f>IFERROR(CostofSales[[#This Row],[Feb]]/CostofSales[[#Totals],[Feb]],"-")</f>
        <v>0.26685393258427</v>
      </c>
      <c r="T9" s="78">
        <f>IFERROR(CostofSales[[#This Row],[Mar]]/CostofSales[[#Totals],[Mar]],"-")</f>
        <v>0.161904761904762</v>
      </c>
      <c r="U9" s="78">
        <f>IFERROR(CostofSales[[#This Row],[Apr]]/CostofSales[[#Totals],[Apr]],"-")</f>
        <v>0.37344398340249</v>
      </c>
      <c r="V9" s="78">
        <f>IFERROR(CostofSales[[#This Row],[May]]/CostofSales[[#Totals],[May]],"-")</f>
        <v>0.0526315789473684</v>
      </c>
      <c r="W9" s="78">
        <f>IFERROR(CostofSales[[#This Row],[Jun]]/CostofSales[[#Totals],[Jun]],"-")</f>
        <v>0.108974358974359</v>
      </c>
      <c r="X9" s="78">
        <f>IFERROR(CostofSales[[#This Row],[Jul]]/CostofSales[[#Totals],[Jul]],"-")</f>
        <v>0.100334448160535</v>
      </c>
      <c r="Y9" s="78">
        <f>IFERROR(CostofSales[[#This Row],[Aug]]/CostofSales[[#Totals],[Aug]],"-")</f>
        <v>0.106194690265487</v>
      </c>
      <c r="Z9" s="78">
        <f>IFERROR(CostofSales[[#This Row],[Sep]]/CostofSales[[#Totals],[Sep]],"-")</f>
        <v>0.263285024154589</v>
      </c>
      <c r="AA9" s="78">
        <f>IFERROR(CostofSales[[#This Row],[Oct]]/CostofSales[[#Totals],[Oct]],"-")</f>
        <v>0.0583941605839416</v>
      </c>
      <c r="AB9" s="78">
        <f>IFERROR(CostofSales[[#This Row],[Nov]]/CostofSales[[#Totals],[Nov]],"-")</f>
        <v>0.0795454545454545</v>
      </c>
      <c r="AC9" s="78">
        <f>IFERROR(CostofSales[[#This Row],[Dec]]/CostofSales[[#Totals],[Dec]],"-")</f>
        <v>0.114790286975717</v>
      </c>
      <c r="AD9" s="88">
        <f>IFERROR(CostofSales[[#This Row],[Yearly]]/CostofSales[[#Totals],[Yearly]],"-")</f>
        <v>0.168150864326873</v>
      </c>
    </row>
    <row r="10" customHeight="1" spans="2:30">
      <c r="B10" s="60" t="s">
        <v>50</v>
      </c>
      <c r="C10" s="61"/>
      <c r="D10" s="62">
        <v>13</v>
      </c>
      <c r="E10" s="62">
        <v>28</v>
      </c>
      <c r="F10" s="62">
        <v>15</v>
      </c>
      <c r="G10" s="62">
        <v>8</v>
      </c>
      <c r="H10" s="62">
        <v>84</v>
      </c>
      <c r="I10" s="62">
        <v>12</v>
      </c>
      <c r="J10" s="62">
        <v>54</v>
      </c>
      <c r="K10" s="62">
        <v>72</v>
      </c>
      <c r="L10" s="62">
        <v>49</v>
      </c>
      <c r="M10" s="62">
        <v>24</v>
      </c>
      <c r="N10" s="62">
        <v>60</v>
      </c>
      <c r="O10" s="62">
        <v>39</v>
      </c>
      <c r="P10" s="73">
        <f>SUM(CostofSales[[#This Row],[Jan]:[Dec]])</f>
        <v>458</v>
      </c>
      <c r="Q10" s="78">
        <v>0.11</v>
      </c>
      <c r="R10" s="79">
        <f>IFERROR(CostofSales[[#This Row],[Jan]]/CostofSales[[#Totals],[Jan]],"-")</f>
        <v>0.0490566037735849</v>
      </c>
      <c r="S10" s="78">
        <f>IFERROR(CostofSales[[#This Row],[Feb]]/CostofSales[[#Totals],[Feb]],"-")</f>
        <v>0.0786516853932584</v>
      </c>
      <c r="T10" s="78">
        <f>IFERROR(CostofSales[[#This Row],[Mar]]/CostofSales[[#Totals],[Mar]],"-")</f>
        <v>0.0476190476190476</v>
      </c>
      <c r="U10" s="78">
        <f>IFERROR(CostofSales[[#This Row],[Apr]]/CostofSales[[#Totals],[Apr]],"-")</f>
        <v>0.033195020746888</v>
      </c>
      <c r="V10" s="78">
        <f>IFERROR(CostofSales[[#This Row],[May]]/CostofSales[[#Totals],[May]],"-")</f>
        <v>0.210526315789474</v>
      </c>
      <c r="W10" s="78">
        <f>IFERROR(CostofSales[[#This Row],[Jun]]/CostofSales[[#Totals],[Jun]],"-")</f>
        <v>0.0384615384615385</v>
      </c>
      <c r="X10" s="78">
        <f>IFERROR(CostofSales[[#This Row],[Jul]]/CostofSales[[#Totals],[Jul]],"-")</f>
        <v>0.180602006688963</v>
      </c>
      <c r="Y10" s="78">
        <f>IFERROR(CostofSales[[#This Row],[Aug]]/CostofSales[[#Totals],[Aug]],"-")</f>
        <v>0.31858407079646</v>
      </c>
      <c r="Z10" s="78">
        <f>IFERROR(CostofSales[[#This Row],[Sep]]/CostofSales[[#Totals],[Sep]],"-")</f>
        <v>0.118357487922705</v>
      </c>
      <c r="AA10" s="78">
        <f>IFERROR(CostofSales[[#This Row],[Oct]]/CostofSales[[#Totals],[Oct]],"-")</f>
        <v>0.0875912408759124</v>
      </c>
      <c r="AB10" s="78">
        <f>IFERROR(CostofSales[[#This Row],[Nov]]/CostofSales[[#Totals],[Nov]],"-")</f>
        <v>0.227272727272727</v>
      </c>
      <c r="AC10" s="78">
        <f>IFERROR(CostofSales[[#This Row],[Dec]]/CostofSales[[#Totals],[Dec]],"-")</f>
        <v>0.0860927152317881</v>
      </c>
      <c r="AD10" s="88">
        <f>IFERROR(CostofSales[[#This Row],[Yearly]]/CostofSales[[#Totals],[Yearly]],"-")</f>
        <v>0.119958093242535</v>
      </c>
    </row>
    <row r="11" customHeight="1" spans="2:30">
      <c r="B11" s="60" t="s">
        <v>51</v>
      </c>
      <c r="C11" s="61"/>
      <c r="D11" s="62">
        <v>34</v>
      </c>
      <c r="E11" s="62">
        <v>78</v>
      </c>
      <c r="F11" s="62">
        <v>43</v>
      </c>
      <c r="G11" s="62">
        <v>30</v>
      </c>
      <c r="H11" s="62">
        <v>77</v>
      </c>
      <c r="I11" s="62">
        <v>54</v>
      </c>
      <c r="J11" s="62">
        <v>26</v>
      </c>
      <c r="K11" s="62">
        <v>13</v>
      </c>
      <c r="L11" s="62">
        <v>56</v>
      </c>
      <c r="M11" s="62">
        <v>30</v>
      </c>
      <c r="N11" s="62">
        <v>40</v>
      </c>
      <c r="O11" s="62">
        <v>63</v>
      </c>
      <c r="P11" s="73">
        <f>SUM(CostofSales[[#This Row],[Jan]:[Dec]])</f>
        <v>544</v>
      </c>
      <c r="Q11" s="78">
        <v>0.2</v>
      </c>
      <c r="R11" s="79">
        <f>IFERROR(CostofSales[[#This Row],[Jan]]/CostofSales[[#Totals],[Jan]],"-")</f>
        <v>0.128301886792453</v>
      </c>
      <c r="S11" s="78">
        <f>IFERROR(CostofSales[[#This Row],[Feb]]/CostofSales[[#Totals],[Feb]],"-")</f>
        <v>0.219101123595506</v>
      </c>
      <c r="T11" s="78">
        <f>IFERROR(CostofSales[[#This Row],[Mar]]/CostofSales[[#Totals],[Mar]],"-")</f>
        <v>0.136507936507936</v>
      </c>
      <c r="U11" s="78">
        <f>IFERROR(CostofSales[[#This Row],[Apr]]/CostofSales[[#Totals],[Apr]],"-")</f>
        <v>0.12448132780083</v>
      </c>
      <c r="V11" s="78">
        <f>IFERROR(CostofSales[[#This Row],[May]]/CostofSales[[#Totals],[May]],"-")</f>
        <v>0.192982456140351</v>
      </c>
      <c r="W11" s="78">
        <f>IFERROR(CostofSales[[#This Row],[Jun]]/CostofSales[[#Totals],[Jun]],"-")</f>
        <v>0.173076923076923</v>
      </c>
      <c r="X11" s="78">
        <f>IFERROR(CostofSales[[#This Row],[Jul]]/CostofSales[[#Totals],[Jul]],"-")</f>
        <v>0.0869565217391304</v>
      </c>
      <c r="Y11" s="78">
        <f>IFERROR(CostofSales[[#This Row],[Aug]]/CostofSales[[#Totals],[Aug]],"-")</f>
        <v>0.0575221238938053</v>
      </c>
      <c r="Z11" s="78">
        <f>IFERROR(CostofSales[[#This Row],[Sep]]/CostofSales[[#Totals],[Sep]],"-")</f>
        <v>0.135265700483092</v>
      </c>
      <c r="AA11" s="78">
        <f>IFERROR(CostofSales[[#This Row],[Oct]]/CostofSales[[#Totals],[Oct]],"-")</f>
        <v>0.109489051094891</v>
      </c>
      <c r="AB11" s="78">
        <f>IFERROR(CostofSales[[#This Row],[Nov]]/CostofSales[[#Totals],[Nov]],"-")</f>
        <v>0.151515151515152</v>
      </c>
      <c r="AC11" s="78">
        <f>IFERROR(CostofSales[[#This Row],[Dec]]/CostofSales[[#Totals],[Dec]],"-")</f>
        <v>0.139072847682119</v>
      </c>
      <c r="AD11" s="88">
        <f>IFERROR(CostofSales[[#This Row],[Yearly]]/CostofSales[[#Totals],[Yearly]],"-")</f>
        <v>0.14248297537978</v>
      </c>
    </row>
    <row r="12" customHeight="1" spans="2:30">
      <c r="B12" s="60" t="s">
        <v>52</v>
      </c>
      <c r="C12" s="61"/>
      <c r="D12" s="62">
        <v>33</v>
      </c>
      <c r="E12" s="62">
        <v>61</v>
      </c>
      <c r="F12" s="62">
        <v>42</v>
      </c>
      <c r="G12" s="62">
        <v>43</v>
      </c>
      <c r="H12" s="62">
        <v>19</v>
      </c>
      <c r="I12" s="62">
        <v>94</v>
      </c>
      <c r="J12" s="62">
        <v>46</v>
      </c>
      <c r="K12" s="62">
        <v>15</v>
      </c>
      <c r="L12" s="62">
        <v>55</v>
      </c>
      <c r="M12" s="62">
        <v>15</v>
      </c>
      <c r="N12" s="62">
        <v>37</v>
      </c>
      <c r="O12" s="62">
        <v>89</v>
      </c>
      <c r="P12" s="73">
        <f>SUM(CostofSales[[#This Row],[Jan]:[Dec]])</f>
        <v>549</v>
      </c>
      <c r="Q12" s="78">
        <v>0.1</v>
      </c>
      <c r="R12" s="79">
        <f>IFERROR(CostofSales[[#This Row],[Jan]]/CostofSales[[#Totals],[Jan]],"-")</f>
        <v>0.124528301886792</v>
      </c>
      <c r="S12" s="78">
        <f>IFERROR(CostofSales[[#This Row],[Feb]]/CostofSales[[#Totals],[Feb]],"-")</f>
        <v>0.171348314606742</v>
      </c>
      <c r="T12" s="78">
        <f>IFERROR(CostofSales[[#This Row],[Mar]]/CostofSales[[#Totals],[Mar]],"-")</f>
        <v>0.133333333333333</v>
      </c>
      <c r="U12" s="78">
        <f>IFERROR(CostofSales[[#This Row],[Apr]]/CostofSales[[#Totals],[Apr]],"-")</f>
        <v>0.178423236514523</v>
      </c>
      <c r="V12" s="78">
        <f>IFERROR(CostofSales[[#This Row],[May]]/CostofSales[[#Totals],[May]],"-")</f>
        <v>0.0476190476190476</v>
      </c>
      <c r="W12" s="78">
        <f>IFERROR(CostofSales[[#This Row],[Jun]]/CostofSales[[#Totals],[Jun]],"-")</f>
        <v>0.301282051282051</v>
      </c>
      <c r="X12" s="78">
        <f>IFERROR(CostofSales[[#This Row],[Jul]]/CostofSales[[#Totals],[Jul]],"-")</f>
        <v>0.153846153846154</v>
      </c>
      <c r="Y12" s="78">
        <f>IFERROR(CostofSales[[#This Row],[Aug]]/CostofSales[[#Totals],[Aug]],"-")</f>
        <v>0.0663716814159292</v>
      </c>
      <c r="Z12" s="78">
        <f>IFERROR(CostofSales[[#This Row],[Sep]]/CostofSales[[#Totals],[Sep]],"-")</f>
        <v>0.132850241545894</v>
      </c>
      <c r="AA12" s="78">
        <f>IFERROR(CostofSales[[#This Row],[Oct]]/CostofSales[[#Totals],[Oct]],"-")</f>
        <v>0.0547445255474453</v>
      </c>
      <c r="AB12" s="78">
        <f>IFERROR(CostofSales[[#This Row],[Nov]]/CostofSales[[#Totals],[Nov]],"-")</f>
        <v>0.140151515151515</v>
      </c>
      <c r="AC12" s="78">
        <f>IFERROR(CostofSales[[#This Row],[Dec]]/CostofSales[[#Totals],[Dec]],"-")</f>
        <v>0.196467991169978</v>
      </c>
      <c r="AD12" s="88">
        <f>IFERROR(CostofSales[[#This Row],[Yearly]]/CostofSales[[#Totals],[Yearly]],"-")</f>
        <v>0.14379256155055</v>
      </c>
    </row>
    <row r="13" customHeight="1" spans="1:30">
      <c r="A13" s="20"/>
      <c r="B13" s="60" t="s">
        <v>53</v>
      </c>
      <c r="C13" s="61"/>
      <c r="D13" s="62">
        <v>18</v>
      </c>
      <c r="E13" s="62">
        <v>11</v>
      </c>
      <c r="F13" s="62">
        <v>30</v>
      </c>
      <c r="G13" s="62">
        <v>9</v>
      </c>
      <c r="H13" s="62">
        <v>62</v>
      </c>
      <c r="I13" s="62">
        <v>39</v>
      </c>
      <c r="J13" s="62">
        <v>102</v>
      </c>
      <c r="K13" s="62">
        <v>44</v>
      </c>
      <c r="L13" s="62">
        <v>121</v>
      </c>
      <c r="M13" s="62">
        <v>19</v>
      </c>
      <c r="N13" s="62">
        <v>33</v>
      </c>
      <c r="O13" s="62">
        <v>40</v>
      </c>
      <c r="P13" s="73">
        <f>SUM(CostofSales[[#This Row],[Jan]:[Dec]])</f>
        <v>528</v>
      </c>
      <c r="Q13" s="78">
        <v>0.1</v>
      </c>
      <c r="R13" s="79">
        <f>IFERROR(CostofSales[[#This Row],[Jan]]/CostofSales[[#Totals],[Jan]],"-")</f>
        <v>0.0679245283018868</v>
      </c>
      <c r="S13" s="78">
        <f>IFERROR(CostofSales[[#This Row],[Feb]]/CostofSales[[#Totals],[Feb]],"-")</f>
        <v>0.0308988764044944</v>
      </c>
      <c r="T13" s="78">
        <f>IFERROR(CostofSales[[#This Row],[Mar]]/CostofSales[[#Totals],[Mar]],"-")</f>
        <v>0.0952380952380952</v>
      </c>
      <c r="U13" s="78">
        <f>IFERROR(CostofSales[[#This Row],[Apr]]/CostofSales[[#Totals],[Apr]],"-")</f>
        <v>0.037344398340249</v>
      </c>
      <c r="V13" s="78">
        <f>IFERROR(CostofSales[[#This Row],[May]]/CostofSales[[#Totals],[May]],"-")</f>
        <v>0.155388471177945</v>
      </c>
      <c r="W13" s="78">
        <f>IFERROR(CostofSales[[#This Row],[Jun]]/CostofSales[[#Totals],[Jun]],"-")</f>
        <v>0.125</v>
      </c>
      <c r="X13" s="78">
        <f>IFERROR(CostofSales[[#This Row],[Jul]]/CostofSales[[#Totals],[Jul]],"-")</f>
        <v>0.341137123745819</v>
      </c>
      <c r="Y13" s="78">
        <f>IFERROR(CostofSales[[#This Row],[Aug]]/CostofSales[[#Totals],[Aug]],"-")</f>
        <v>0.194690265486726</v>
      </c>
      <c r="Z13" s="78">
        <f>IFERROR(CostofSales[[#This Row],[Sep]]/CostofSales[[#Totals],[Sep]],"-")</f>
        <v>0.292270531400966</v>
      </c>
      <c r="AA13" s="78">
        <f>IFERROR(CostofSales[[#This Row],[Oct]]/CostofSales[[#Totals],[Oct]],"-")</f>
        <v>0.0693430656934307</v>
      </c>
      <c r="AB13" s="78">
        <f>IFERROR(CostofSales[[#This Row],[Nov]]/CostofSales[[#Totals],[Nov]],"-")</f>
        <v>0.125</v>
      </c>
      <c r="AC13" s="78">
        <f>IFERROR(CostofSales[[#This Row],[Dec]]/CostofSales[[#Totals],[Dec]],"-")</f>
        <v>0.0883002207505519</v>
      </c>
      <c r="AD13" s="88">
        <f>IFERROR(CostofSales[[#This Row],[Yearly]]/CostofSales[[#Totals],[Yearly]],"-")</f>
        <v>0.138292299633316</v>
      </c>
    </row>
    <row r="14" customHeight="1" spans="1:30">
      <c r="A14" s="1"/>
      <c r="B14" s="63" t="s">
        <v>54</v>
      </c>
      <c r="C14" s="64"/>
      <c r="D14" s="65">
        <f>SUBTOTAL(109,CostofSales[Jan])</f>
        <v>265</v>
      </c>
      <c r="E14" s="65">
        <f>SUBTOTAL(109,CostofSales[Feb])</f>
        <v>356</v>
      </c>
      <c r="F14" s="65">
        <f>SUBTOTAL(109,CostofSales[Mar])</f>
        <v>315</v>
      </c>
      <c r="G14" s="65">
        <f>SUBTOTAL(109,CostofSales[Apr])</f>
        <v>241</v>
      </c>
      <c r="H14" s="65">
        <f>SUBTOTAL(109,CostofSales[May])</f>
        <v>399</v>
      </c>
      <c r="I14" s="65">
        <f>SUBTOTAL(109,CostofSales[Jun])</f>
        <v>312</v>
      </c>
      <c r="J14" s="65">
        <f>SUBTOTAL(109,CostofSales[Jul])</f>
        <v>299</v>
      </c>
      <c r="K14" s="65">
        <f>SUBTOTAL(109,CostofSales[Aug])</f>
        <v>226</v>
      </c>
      <c r="L14" s="65">
        <f>SUBTOTAL(109,CostofSales[Sep])</f>
        <v>414</v>
      </c>
      <c r="M14" s="65">
        <f>SUBTOTAL(109,CostofSales[Oct])</f>
        <v>274</v>
      </c>
      <c r="N14" s="65">
        <f>SUBTOTAL(109,CostofSales[Nov])</f>
        <v>264</v>
      </c>
      <c r="O14" s="65">
        <f>SUBTOTAL(109,CostofSales[Dec])</f>
        <v>453</v>
      </c>
      <c r="P14" s="74">
        <f>SUBTOTAL(109,CostofSales[Yearly])</f>
        <v>3818</v>
      </c>
      <c r="Q14" s="80">
        <f>SUBTOTAL(109,CostofSales[Index %])</f>
        <v>1</v>
      </c>
      <c r="R14" s="81">
        <f>SUBTOTAL(109,CostofSales[Jan %])</f>
        <v>1</v>
      </c>
      <c r="S14" s="82">
        <f>SUBTOTAL(109,CostofSales[Feb %])</f>
        <v>1</v>
      </c>
      <c r="T14" s="82">
        <f>SUBTOTAL(109,CostofSales[Mar %])</f>
        <v>1</v>
      </c>
      <c r="U14" s="82">
        <f>SUBTOTAL(109,CostofSales[Apr %])</f>
        <v>1</v>
      </c>
      <c r="V14" s="82">
        <f>SUBTOTAL(109,CostofSales[May %])</f>
        <v>1</v>
      </c>
      <c r="W14" s="82">
        <f>SUBTOTAL(109,CostofSales[Jun %])</f>
        <v>1</v>
      </c>
      <c r="X14" s="82">
        <f>SUBTOTAL(109,CostofSales[Jul %])</f>
        <v>1</v>
      </c>
      <c r="Y14" s="82">
        <f>SUBTOTAL(109,CostofSales[Aug %])</f>
        <v>1</v>
      </c>
      <c r="Z14" s="82">
        <f>SUBTOTAL(109,CostofSales[Sep %])</f>
        <v>1</v>
      </c>
      <c r="AA14" s="82">
        <f>SUBTOTAL(109,CostofSales[Oct %])</f>
        <v>1</v>
      </c>
      <c r="AB14" s="82">
        <f>SUBTOTAL(109,CostofSales[Nov %])</f>
        <v>1</v>
      </c>
      <c r="AC14" s="82">
        <f>SUBTOTAL(109,CostofSales[Dec %])</f>
        <v>1</v>
      </c>
      <c r="AD14" s="89">
        <f>SUBTOTAL(109,CostofSales[Year %])</f>
        <v>1</v>
      </c>
    </row>
    <row r="15" ht="9.9" customHeight="1" spans="31:32">
      <c r="AE15" s="90"/>
      <c r="AF15" s="90"/>
    </row>
    <row r="16" ht="25.5" customHeight="1" spans="2:30">
      <c r="B16" s="66" t="s">
        <v>55</v>
      </c>
      <c r="C16" s="67"/>
      <c r="D16" s="68">
        <f>Revenue[[#Totals],[Jan]]-CostofSales[[#Totals],[Jan]]</f>
        <v>359</v>
      </c>
      <c r="E16" s="68">
        <f>Revenue[[#Totals],[Feb]]-CostofSales[[#Totals],[Feb]]</f>
        <v>380</v>
      </c>
      <c r="F16" s="68">
        <f>Revenue[[#Totals],[Mar]]-CostofSales[[#Totals],[Mar]]</f>
        <v>505</v>
      </c>
      <c r="G16" s="68">
        <f>Revenue[[#Totals],[Apr]]-CostofSales[[#Totals],[Apr]]</f>
        <v>370</v>
      </c>
      <c r="H16" s="68">
        <f>Revenue[[#Totals],[May]]-CostofSales[[#Totals],[May]]</f>
        <v>413</v>
      </c>
      <c r="I16" s="68">
        <f>Revenue[[#Totals],[Jun]]-CostofSales[[#Totals],[Jun]]</f>
        <v>266</v>
      </c>
      <c r="J16" s="68">
        <f>Revenue[[#Totals],[Jul]]-CostofSales[[#Totals],[Jul]]</f>
        <v>298</v>
      </c>
      <c r="K16" s="68">
        <f>Revenue[[#Totals],[Aug]]-CostofSales[[#Totals],[Aug]]</f>
        <v>449</v>
      </c>
      <c r="L16" s="68">
        <f>Revenue[[#Totals],[Sep]]-CostofSales[[#Totals],[Sep]]</f>
        <v>330</v>
      </c>
      <c r="M16" s="68">
        <f>Revenue[[#Totals],[Oct]]-CostofSales[[#Totals],[Oct]]</f>
        <v>407</v>
      </c>
      <c r="N16" s="68">
        <f>Revenue[[#Totals],[Nov]]-CostofSales[[#Totals],[Nov]]</f>
        <v>475</v>
      </c>
      <c r="O16" s="68">
        <f>Revenue[[#Totals],[Dec]]-CostofSales[[#Totals],[Dec]]</f>
        <v>590</v>
      </c>
      <c r="P16" s="68">
        <f>Revenue[[#Totals],[Yearly]]-CostofSales[[#Totals],[Yearly]]</f>
        <v>4842</v>
      </c>
      <c r="Q16" s="44"/>
      <c r="R16" s="83">
        <f t="shared" ref="R16:AD16" si="1">D16/$P$16</f>
        <v>0.0741429161503511</v>
      </c>
      <c r="S16" s="83">
        <f t="shared" si="1"/>
        <v>0.0784799669558034</v>
      </c>
      <c r="T16" s="83">
        <f t="shared" si="1"/>
        <v>0.104295745559686</v>
      </c>
      <c r="U16" s="83">
        <f t="shared" si="1"/>
        <v>0.0764147046674928</v>
      </c>
      <c r="V16" s="83">
        <f t="shared" si="1"/>
        <v>0.0852953325072284</v>
      </c>
      <c r="W16" s="83">
        <f t="shared" si="1"/>
        <v>0.0549359768690624</v>
      </c>
      <c r="X16" s="83">
        <f t="shared" si="1"/>
        <v>0.0615448161916563</v>
      </c>
      <c r="Y16" s="83">
        <f t="shared" si="1"/>
        <v>0.0927302767451466</v>
      </c>
      <c r="Z16" s="83">
        <f t="shared" si="1"/>
        <v>0.0681536555142503</v>
      </c>
      <c r="AA16" s="83">
        <f t="shared" si="1"/>
        <v>0.084056175134242</v>
      </c>
      <c r="AB16" s="83">
        <f t="shared" si="1"/>
        <v>0.0980999586947542</v>
      </c>
      <c r="AC16" s="83">
        <f t="shared" si="1"/>
        <v>0.121850475010326</v>
      </c>
      <c r="AD16" s="83">
        <f t="shared" si="1"/>
        <v>1</v>
      </c>
    </row>
  </sheetData>
  <dataValidations count="18">
    <dataValidation allowBlank="1" showInputMessage="1" showErrorMessage="1" prompt="Company name is automatically updated using the entry from Revenue (Sales) work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nnual Cost is automatically calculated in this column" sqref="P5"/>
    <dataValidation allowBlank="1" showInputMessage="1" showErrorMessage="1" prompt="Automatically calculates proportion of cost of sales from different sources to total sales for the year in this column" sqref="AD5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The dates in this row are automatically updated based on the starting month of fiscal year. To change starting month, modify cell AC2 in Revenues (Sales) sheet" sqref="D5"/>
    <dataValidation allowBlank="1" showInputMessage="1" showErrorMessage="1" prompt="Index percent is in this column" sqref="Q5"/>
    <dataValidation allowBlank="1" showInputMessage="1" showErrorMessage="1" prompt="Automatically calculates proportion of cost of sales from different sources to total sales in this column, for the month in this cell" sqref="R5:AC5"/>
    <dataValidation allowBlank="1" showInputMessage="1" showErrorMessage="1" prompt="Enter cost of sales in this column" sqref="B6"/>
    <dataValidation allowBlank="1" showInputMessage="1" showErrorMessage="1" prompt="A trend chart for costs over time is in this column" sqref="C6"/>
    <dataValidation allowBlank="1" showInputMessage="1" showErrorMessage="1" prompt="Enter cost of the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Gross profit for each month and year is automatically calculated in this row based on total sales &amp; total costs of sales" sqref="B16"/>
    <dataValidation allowBlank="1" showInputMessage="1" showErrorMessage="1" prompt="This worksheet calculates total cost of sales for each month &amp; year, &amp; annual costs of sales for items. Based on entries, gross profit is automatically calculated" sqref="A1:A2"/>
    <dataValidation allowBlank="1" showInputMessage="1" showErrorMessage="1" prompt="Automatically updated title from Revenue (Sales) worksheet. Enter values in the Cost of Sales table below to calculate total costs of sales" sqref="B3:B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type="line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4" tint="-0.499984740745262"/>
          <x14:colorLow theme="4" tint="-0.499984740745262"/>
          <x14:sparklines>
            <x14:sparkline>
              <xm:f>'Cost of Sales'!D14:O14</xm:f>
              <xm:sqref>C14</xm:sqref>
            </x14:sparkline>
          </x14:sparklines>
        </x14:sparklineGroup>
        <x14:sparklineGroup lineWeight="1" type="line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4" tint="-0.499984740745262"/>
          <x14:colorLow theme="4" tint="-0.499984740745262"/>
          <x14:sparklines>
            <x14:sparkline>
              <xm:f>'Cost of Sales'!D7:O7</xm:f>
              <xm:sqref>C7</xm:sqref>
            </x14:sparkline>
            <x14:sparkline>
              <xm:f>'Cost of Sales'!D8:O8</xm:f>
              <xm:sqref>C8</xm:sqref>
            </x14:sparkline>
            <x14:sparkline>
              <xm:f>'Cost of Sales'!D9:O9</xm:f>
              <xm:sqref>C9</xm:sqref>
            </x14:sparkline>
            <x14:sparkline>
              <xm:f>'Cost of Sales'!D10:O10</xm:f>
              <xm:sqref>C10</xm:sqref>
            </x14:sparkline>
            <x14:sparkline>
              <xm:f>'Cost of Sales'!D11:O11</xm:f>
              <xm:sqref>C11</xm:sqref>
            </x14:sparkline>
            <x14:sparkline>
              <xm:f>'Cost of Sales'!D12:O12</xm:f>
              <xm:sqref>C12</xm:sqref>
            </x14:sparkline>
            <x14:sparkline>
              <xm:f>'Cost of Sales'!D13:O13</xm:f>
              <xm:sqref>C13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  <pageSetUpPr fitToPage="1"/>
  </sheetPr>
  <dimension ref="A1:AF28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17" width="7.7" customWidth="1"/>
    <col min="18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30">
      <c r="A2" s="2"/>
      <c r="B2" s="5" t="str">
        <f>Projection_Period_Title</f>
        <v>Twelve Month</v>
      </c>
      <c r="C2" s="6"/>
      <c r="D2" s="6"/>
      <c r="E2" s="7" t="s">
        <v>45</v>
      </c>
      <c r="F2" s="8" t="str">
        <f>FYMonthStart</f>
        <v>JAN</v>
      </c>
      <c r="G2" s="8">
        <f ca="1">FYStartYear</f>
        <v>2021</v>
      </c>
      <c r="J2" s="2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46"/>
    </row>
    <row r="3" ht="60" customHeight="1" spans="2:30">
      <c r="B3" s="9" t="str">
        <f>'Revenues (Sales)'!$B$3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2:25">
      <c r="B4" s="11"/>
      <c r="C4" s="12"/>
      <c r="D4" s="13"/>
      <c r="E4" s="13"/>
      <c r="F4" s="13"/>
      <c r="G4" s="13"/>
      <c r="K4" s="13"/>
      <c r="L4" s="13"/>
      <c r="M4" s="13"/>
      <c r="N4" s="13"/>
      <c r="O4" s="13"/>
      <c r="X4" s="34"/>
      <c r="Y4" s="34"/>
    </row>
    <row r="5" ht="20.1" customHeight="1" spans="4:30">
      <c r="D5" s="14" t="str">
        <f ca="1">UPPER(TEXT(DATE(FYStartYear,FYMonthNo,1),"mmm-yy"))</f>
        <v>JAN-21</v>
      </c>
      <c r="E5" s="14" t="str">
        <f ca="1">UPPER(TEXT(DATE(FYStartYear,FYMonthNo+1,1),"mmm-yy"))</f>
        <v>FEB-21</v>
      </c>
      <c r="F5" s="14" t="str">
        <f ca="1">UPPER(TEXT(DATE(FYStartYear,FYMonthNo+2,1),"mmm-yy"))</f>
        <v>MAR-21</v>
      </c>
      <c r="G5" s="14" t="str">
        <f ca="1">UPPER(TEXT(DATE(FYStartYear,FYMonthNo+3,1),"mmm-yy"))</f>
        <v>APR-21</v>
      </c>
      <c r="H5" s="14" t="str">
        <f ca="1">UPPER(TEXT(DATE(FYStartYear,FYMonthNo+4,1),"mmm-yy"))</f>
        <v>MAY-21</v>
      </c>
      <c r="I5" s="14" t="str">
        <f ca="1">UPPER(TEXT(DATE(FYStartYear,FYMonthNo+5,1),"mmm-yy"))</f>
        <v>JUN-21</v>
      </c>
      <c r="J5" s="14" t="str">
        <f ca="1">UPPER(TEXT(DATE(FYStartYear,FYMonthNo+6,1),"mmm-yy"))</f>
        <v>JUL-21</v>
      </c>
      <c r="K5" s="14" t="str">
        <f ca="1">UPPER(TEXT(DATE(FYStartYear,FYMonthNo+7,1),"mmm-yy"))</f>
        <v>AUG-21</v>
      </c>
      <c r="L5" s="14" t="str">
        <f ca="1">UPPER(TEXT(DATE(FYStartYear,FYMonthNo+8,1),"mmm-yy"))</f>
        <v>SEP-21</v>
      </c>
      <c r="M5" s="14" t="str">
        <f ca="1">UPPER(TEXT(DATE(FYStartYear,FYMonthNo+9,1),"mmm-yy"))</f>
        <v>OCT-21</v>
      </c>
      <c r="N5" s="14" t="str">
        <f ca="1">UPPER(TEXT(DATE(FYStartYear,FYMonthNo+10,1),"mmm-yy"))</f>
        <v>NOV-21</v>
      </c>
      <c r="O5" s="26" t="str">
        <f ca="1">UPPER(TEXT(DATE(FYStartYear,FYMonthNo+11,1),"mmm-yy"))</f>
        <v>DEC-21</v>
      </c>
      <c r="P5" s="27" t="s">
        <v>5</v>
      </c>
      <c r="Q5" s="26" t="s">
        <v>6</v>
      </c>
      <c r="R5" s="35" t="str">
        <f ca="1">LEFT(D5,3)&amp;" %"</f>
        <v>JAN %</v>
      </c>
      <c r="S5" s="36" t="str">
        <f ca="1" t="shared" ref="S5:AC5" si="0">LEFT(E5,3)&amp;" %"</f>
        <v>FEB %</v>
      </c>
      <c r="T5" s="36" t="str">
        <f ca="1" t="shared" si="0"/>
        <v>MAR %</v>
      </c>
      <c r="U5" s="36" t="str">
        <f ca="1" t="shared" si="0"/>
        <v>APR %</v>
      </c>
      <c r="V5" s="36" t="str">
        <f ca="1" t="shared" si="0"/>
        <v>MAY %</v>
      </c>
      <c r="W5" s="36" t="str">
        <f ca="1" t="shared" si="0"/>
        <v>JUN %</v>
      </c>
      <c r="X5" s="36" t="str">
        <f ca="1" t="shared" si="0"/>
        <v>JUL %</v>
      </c>
      <c r="Y5" s="36" t="str">
        <f ca="1" t="shared" si="0"/>
        <v>AUG %</v>
      </c>
      <c r="Z5" s="36" t="str">
        <f ca="1" t="shared" si="0"/>
        <v>SEP %</v>
      </c>
      <c r="AA5" s="36" t="str">
        <f ca="1" t="shared" si="0"/>
        <v>OCT %</v>
      </c>
      <c r="AB5" s="36" t="str">
        <f ca="1" t="shared" si="0"/>
        <v>NOV %</v>
      </c>
      <c r="AC5" s="36" t="str">
        <f ca="1" t="shared" si="0"/>
        <v>DEC %</v>
      </c>
      <c r="AD5" s="47" t="s">
        <v>7</v>
      </c>
    </row>
    <row r="6" customHeight="1" spans="2:30">
      <c r="B6" s="15" t="s">
        <v>56</v>
      </c>
      <c r="C6" s="15" t="s">
        <v>9</v>
      </c>
      <c r="D6" s="16" t="s">
        <v>57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6" t="s">
        <v>21</v>
      </c>
      <c r="P6" s="28" t="s">
        <v>22</v>
      </c>
      <c r="Q6" s="16" t="s">
        <v>23</v>
      </c>
      <c r="R6" s="37" t="s">
        <v>24</v>
      </c>
      <c r="S6" s="38" t="s">
        <v>25</v>
      </c>
      <c r="T6" s="38" t="s">
        <v>26</v>
      </c>
      <c r="U6" s="38" t="s">
        <v>27</v>
      </c>
      <c r="V6" s="38" t="s">
        <v>28</v>
      </c>
      <c r="W6" s="38" t="s">
        <v>29</v>
      </c>
      <c r="X6" s="38" t="s">
        <v>30</v>
      </c>
      <c r="Y6" s="38" t="s">
        <v>31</v>
      </c>
      <c r="Z6" s="38" t="s">
        <v>32</v>
      </c>
      <c r="AA6" s="38" t="s">
        <v>33</v>
      </c>
      <c r="AB6" s="38" t="s">
        <v>34</v>
      </c>
      <c r="AC6" s="38" t="s">
        <v>35</v>
      </c>
      <c r="AD6" s="48" t="s">
        <v>36</v>
      </c>
    </row>
    <row r="7" customHeight="1" spans="2:30">
      <c r="B7" s="17" t="s">
        <v>58</v>
      </c>
      <c r="C7" t="s">
        <v>59</v>
      </c>
      <c r="D7" s="18">
        <v>10</v>
      </c>
      <c r="E7" s="18">
        <v>18</v>
      </c>
      <c r="F7" s="18">
        <v>13</v>
      </c>
      <c r="G7" s="18">
        <v>8</v>
      </c>
      <c r="H7" s="18">
        <v>22</v>
      </c>
      <c r="I7" s="18">
        <v>18</v>
      </c>
      <c r="J7" s="18">
        <v>8</v>
      </c>
      <c r="K7" s="18">
        <v>17</v>
      </c>
      <c r="L7" s="18">
        <v>20</v>
      </c>
      <c r="M7" s="18">
        <v>8</v>
      </c>
      <c r="N7" s="18">
        <v>4</v>
      </c>
      <c r="O7" s="18">
        <v>12</v>
      </c>
      <c r="P7" s="29">
        <f>SUM(tblExpenses[[#This Row],[Column1]:[Dec]])</f>
        <v>158</v>
      </c>
      <c r="Q7" s="39">
        <v>0.12</v>
      </c>
      <c r="R7" s="40">
        <f>tblExpenses[[#This Row],[Column1]]/tblExpenses[[#Totals],[Column1]]</f>
        <v>0.0423728813559322</v>
      </c>
      <c r="S7" s="41">
        <f>tblExpenses[[#This Row],[Feb]]/tblExpenses[[#Totals],[Feb]]</f>
        <v>0.0878048780487805</v>
      </c>
      <c r="T7" s="41">
        <f>tblExpenses[[#This Row],[Mar]]/tblExpenses[[#Totals],[Mar]]</f>
        <v>0.0522088353413655</v>
      </c>
      <c r="U7" s="41">
        <f>tblExpenses[[#This Row],[Apr]]/tblExpenses[[#Totals],[Apr]]</f>
        <v>0.0306513409961686</v>
      </c>
      <c r="V7" s="41">
        <f>tblExpenses[[#This Row],[May]]/tblExpenses[[#Totals],[May]]</f>
        <v>0.0856031128404669</v>
      </c>
      <c r="W7" s="41">
        <f>tblExpenses[[#This Row],[Jun]]/tblExpenses[[#Totals],[Jun]]</f>
        <v>0.0656934306569343</v>
      </c>
      <c r="X7" s="41">
        <f>tblExpenses[[#This Row],[Jul]]/tblExpenses[[#Totals],[Jul]]</f>
        <v>0.0300751879699248</v>
      </c>
      <c r="Y7" s="41">
        <f>tblExpenses[[#This Row],[Aug]]/tblExpenses[[#Totals],[Aug]]</f>
        <v>0.0723404255319149</v>
      </c>
      <c r="Z7" s="41">
        <f>tblExpenses[[#This Row],[Sep]]/tblExpenses[[#Totals],[Sep]]</f>
        <v>0.0869565217391304</v>
      </c>
      <c r="AA7" s="41">
        <f>tblExpenses[[#This Row],[Oct]]/tblExpenses[[#Totals],[Oct]]</f>
        <v>0.0308880308880309</v>
      </c>
      <c r="AB7" s="41">
        <f>tblExpenses[[#This Row],[Nov]]/tblExpenses[[#Totals],[Nov]]</f>
        <v>0.0135135135135135</v>
      </c>
      <c r="AC7" s="41">
        <f>tblExpenses[[#This Row],[Dec]]/tblExpenses[[#Totals],[Dec]]</f>
        <v>0.051948051948052</v>
      </c>
      <c r="AD7" s="49">
        <f>tblExpenses[[#This Row],[Yearly]]/tblExpenses[[#Totals],[Yearly]]</f>
        <v>0.0526842280760253</v>
      </c>
    </row>
    <row r="8" customHeight="1" spans="2:30">
      <c r="B8" s="17" t="s">
        <v>60</v>
      </c>
      <c r="C8" t="s">
        <v>59</v>
      </c>
      <c r="D8" s="18">
        <v>23</v>
      </c>
      <c r="E8" s="18">
        <v>11</v>
      </c>
      <c r="F8" s="18">
        <v>7</v>
      </c>
      <c r="G8" s="18">
        <v>14</v>
      </c>
      <c r="H8" s="18">
        <v>12</v>
      </c>
      <c r="I8" s="18">
        <v>19</v>
      </c>
      <c r="J8" s="18">
        <v>19</v>
      </c>
      <c r="K8" s="18">
        <v>4</v>
      </c>
      <c r="L8" s="18">
        <v>7</v>
      </c>
      <c r="M8" s="18">
        <v>13</v>
      </c>
      <c r="N8" s="18">
        <v>25</v>
      </c>
      <c r="O8" s="18">
        <v>5</v>
      </c>
      <c r="P8" s="29">
        <f>SUM(tblExpenses[[#This Row],[Column1]:[Dec]])</f>
        <v>159</v>
      </c>
      <c r="Q8" s="39">
        <v>0.09</v>
      </c>
      <c r="R8" s="40">
        <f>tblExpenses[[#This Row],[Column1]]/tblExpenses[[#Totals],[Column1]]</f>
        <v>0.0974576271186441</v>
      </c>
      <c r="S8" s="41">
        <f>tblExpenses[[#This Row],[Feb]]/tblExpenses[[#Totals],[Feb]]</f>
        <v>0.0536585365853659</v>
      </c>
      <c r="T8" s="41">
        <f>tblExpenses[[#This Row],[Mar]]/tblExpenses[[#Totals],[Mar]]</f>
        <v>0.0281124497991968</v>
      </c>
      <c r="U8" s="41">
        <f>tblExpenses[[#This Row],[Apr]]/tblExpenses[[#Totals],[Apr]]</f>
        <v>0.053639846743295</v>
      </c>
      <c r="V8" s="41">
        <f>tblExpenses[[#This Row],[May]]/tblExpenses[[#Totals],[May]]</f>
        <v>0.0466926070038911</v>
      </c>
      <c r="W8" s="41">
        <f>tblExpenses[[#This Row],[Jun]]/tblExpenses[[#Totals],[Jun]]</f>
        <v>0.0693430656934307</v>
      </c>
      <c r="X8" s="41">
        <f>tblExpenses[[#This Row],[Jul]]/tblExpenses[[#Totals],[Jul]]</f>
        <v>0.0714285714285714</v>
      </c>
      <c r="Y8" s="41">
        <f>tblExpenses[[#This Row],[Aug]]/tblExpenses[[#Totals],[Aug]]</f>
        <v>0.0170212765957447</v>
      </c>
      <c r="Z8" s="41">
        <f>tblExpenses[[#This Row],[Sep]]/tblExpenses[[#Totals],[Sep]]</f>
        <v>0.0304347826086957</v>
      </c>
      <c r="AA8" s="41">
        <f>tblExpenses[[#This Row],[Oct]]/tblExpenses[[#Totals],[Oct]]</f>
        <v>0.0501930501930502</v>
      </c>
      <c r="AB8" s="41">
        <f>tblExpenses[[#This Row],[Nov]]/tblExpenses[[#Totals],[Nov]]</f>
        <v>0.0844594594594595</v>
      </c>
      <c r="AC8" s="41">
        <f>tblExpenses[[#This Row],[Dec]]/tblExpenses[[#Totals],[Dec]]</f>
        <v>0.0216450216450216</v>
      </c>
      <c r="AD8" s="49">
        <f>tblExpenses[[#This Row],[Yearly]]/tblExpenses[[#Totals],[Yearly]]</f>
        <v>0.0530176725575192</v>
      </c>
    </row>
    <row r="9" customHeight="1" spans="2:30">
      <c r="B9" s="17" t="s">
        <v>61</v>
      </c>
      <c r="C9" t="s">
        <v>59</v>
      </c>
      <c r="D9" s="18">
        <v>23</v>
      </c>
      <c r="E9" s="18">
        <v>20</v>
      </c>
      <c r="F9" s="18">
        <v>3</v>
      </c>
      <c r="G9" s="18">
        <v>16</v>
      </c>
      <c r="H9" s="18">
        <v>10</v>
      </c>
      <c r="I9" s="18">
        <v>5</v>
      </c>
      <c r="J9" s="18">
        <v>20</v>
      </c>
      <c r="K9" s="18">
        <v>7</v>
      </c>
      <c r="L9" s="18">
        <v>4</v>
      </c>
      <c r="M9" s="18">
        <v>22</v>
      </c>
      <c r="N9" s="18">
        <v>13</v>
      </c>
      <c r="O9" s="18">
        <v>14</v>
      </c>
      <c r="P9" s="29">
        <f>SUM(tblExpenses[[#This Row],[Column1]:[Dec]])</f>
        <v>157</v>
      </c>
      <c r="Q9" s="39">
        <v>0.02</v>
      </c>
      <c r="R9" s="40">
        <f>tblExpenses[[#This Row],[Column1]]/tblExpenses[[#Totals],[Column1]]</f>
        <v>0.0974576271186441</v>
      </c>
      <c r="S9" s="41">
        <f>tblExpenses[[#This Row],[Feb]]/tblExpenses[[#Totals],[Feb]]</f>
        <v>0.0975609756097561</v>
      </c>
      <c r="T9" s="41">
        <f>tblExpenses[[#This Row],[Mar]]/tblExpenses[[#Totals],[Mar]]</f>
        <v>0.0120481927710843</v>
      </c>
      <c r="U9" s="41">
        <f>tblExpenses[[#This Row],[Apr]]/tblExpenses[[#Totals],[Apr]]</f>
        <v>0.0613026819923372</v>
      </c>
      <c r="V9" s="41">
        <f>tblExpenses[[#This Row],[May]]/tblExpenses[[#Totals],[May]]</f>
        <v>0.0389105058365759</v>
      </c>
      <c r="W9" s="41">
        <f>tblExpenses[[#This Row],[Jun]]/tblExpenses[[#Totals],[Jun]]</f>
        <v>0.0182481751824818</v>
      </c>
      <c r="X9" s="41">
        <f>tblExpenses[[#This Row],[Jul]]/tblExpenses[[#Totals],[Jul]]</f>
        <v>0.075187969924812</v>
      </c>
      <c r="Y9" s="41">
        <f>tblExpenses[[#This Row],[Aug]]/tblExpenses[[#Totals],[Aug]]</f>
        <v>0.0297872340425532</v>
      </c>
      <c r="Z9" s="41">
        <f>tblExpenses[[#This Row],[Sep]]/tblExpenses[[#Totals],[Sep]]</f>
        <v>0.0173913043478261</v>
      </c>
      <c r="AA9" s="41">
        <f>tblExpenses[[#This Row],[Oct]]/tblExpenses[[#Totals],[Oct]]</f>
        <v>0.0849420849420849</v>
      </c>
      <c r="AB9" s="41">
        <f>tblExpenses[[#This Row],[Nov]]/tblExpenses[[#Totals],[Nov]]</f>
        <v>0.0439189189189189</v>
      </c>
      <c r="AC9" s="41">
        <f>tblExpenses[[#This Row],[Dec]]/tblExpenses[[#Totals],[Dec]]</f>
        <v>0.0606060606060606</v>
      </c>
      <c r="AD9" s="49">
        <f>tblExpenses[[#This Row],[Yearly]]/tblExpenses[[#Totals],[Yearly]]</f>
        <v>0.0523507835945315</v>
      </c>
    </row>
    <row r="10" customHeight="1" spans="2:30">
      <c r="B10" s="17" t="s">
        <v>62</v>
      </c>
      <c r="C10" t="s">
        <v>59</v>
      </c>
      <c r="D10" s="18">
        <v>19</v>
      </c>
      <c r="E10" s="18">
        <v>4</v>
      </c>
      <c r="F10" s="18">
        <v>7</v>
      </c>
      <c r="G10" s="18">
        <v>14</v>
      </c>
      <c r="H10" s="18">
        <v>22</v>
      </c>
      <c r="I10" s="18">
        <v>10</v>
      </c>
      <c r="J10" s="18">
        <v>22</v>
      </c>
      <c r="K10" s="18">
        <v>5</v>
      </c>
      <c r="L10" s="18">
        <v>4</v>
      </c>
      <c r="M10" s="18">
        <v>12</v>
      </c>
      <c r="N10" s="18">
        <v>18</v>
      </c>
      <c r="O10" s="18">
        <v>24</v>
      </c>
      <c r="P10" s="29">
        <f>SUM(tblExpenses[[#This Row],[Column1]:[Dec]])</f>
        <v>161</v>
      </c>
      <c r="Q10" s="39">
        <v>0.08</v>
      </c>
      <c r="R10" s="40">
        <f>tblExpenses[[#This Row],[Column1]]/tblExpenses[[#Totals],[Column1]]</f>
        <v>0.0805084745762712</v>
      </c>
      <c r="S10" s="41">
        <f>tblExpenses[[#This Row],[Feb]]/tblExpenses[[#Totals],[Feb]]</f>
        <v>0.0195121951219512</v>
      </c>
      <c r="T10" s="41">
        <f>tblExpenses[[#This Row],[Mar]]/tblExpenses[[#Totals],[Mar]]</f>
        <v>0.0281124497991968</v>
      </c>
      <c r="U10" s="41">
        <f>tblExpenses[[#This Row],[Apr]]/tblExpenses[[#Totals],[Apr]]</f>
        <v>0.053639846743295</v>
      </c>
      <c r="V10" s="41">
        <f>tblExpenses[[#This Row],[May]]/tblExpenses[[#Totals],[May]]</f>
        <v>0.0856031128404669</v>
      </c>
      <c r="W10" s="41">
        <f>tblExpenses[[#This Row],[Jun]]/tblExpenses[[#Totals],[Jun]]</f>
        <v>0.0364963503649635</v>
      </c>
      <c r="X10" s="41">
        <f>tblExpenses[[#This Row],[Jul]]/tblExpenses[[#Totals],[Jul]]</f>
        <v>0.0827067669172932</v>
      </c>
      <c r="Y10" s="41">
        <f>tblExpenses[[#This Row],[Aug]]/tblExpenses[[#Totals],[Aug]]</f>
        <v>0.0212765957446809</v>
      </c>
      <c r="Z10" s="41">
        <f>tblExpenses[[#This Row],[Sep]]/tblExpenses[[#Totals],[Sep]]</f>
        <v>0.0173913043478261</v>
      </c>
      <c r="AA10" s="41">
        <f>tblExpenses[[#This Row],[Oct]]/tblExpenses[[#Totals],[Oct]]</f>
        <v>0.0463320463320463</v>
      </c>
      <c r="AB10" s="41">
        <f>tblExpenses[[#This Row],[Nov]]/tblExpenses[[#Totals],[Nov]]</f>
        <v>0.0608108108108108</v>
      </c>
      <c r="AC10" s="41">
        <f>tblExpenses[[#This Row],[Dec]]/tblExpenses[[#Totals],[Dec]]</f>
        <v>0.103896103896104</v>
      </c>
      <c r="AD10" s="49">
        <f>tblExpenses[[#This Row],[Yearly]]/tblExpenses[[#Totals],[Yearly]]</f>
        <v>0.0536845615205068</v>
      </c>
    </row>
    <row r="11" customHeight="1" spans="2:30">
      <c r="B11" s="17" t="s">
        <v>63</v>
      </c>
      <c r="C11" t="s">
        <v>59</v>
      </c>
      <c r="D11" s="18">
        <v>11</v>
      </c>
      <c r="E11" s="18">
        <v>11</v>
      </c>
      <c r="F11" s="18">
        <v>17</v>
      </c>
      <c r="G11" s="18">
        <v>12</v>
      </c>
      <c r="H11" s="18">
        <v>2</v>
      </c>
      <c r="I11" s="18">
        <v>14</v>
      </c>
      <c r="J11" s="18">
        <v>12</v>
      </c>
      <c r="K11" s="18">
        <v>10</v>
      </c>
      <c r="L11" s="18">
        <v>18</v>
      </c>
      <c r="M11" s="18">
        <v>11</v>
      </c>
      <c r="N11" s="18">
        <v>23</v>
      </c>
      <c r="O11" s="18">
        <v>11</v>
      </c>
      <c r="P11" s="29">
        <f>SUM(tblExpenses[[#This Row],[Column1]:[Dec]])</f>
        <v>152</v>
      </c>
      <c r="Q11" s="39">
        <v>0.03</v>
      </c>
      <c r="R11" s="40">
        <f>tblExpenses[[#This Row],[Column1]]/tblExpenses[[#Totals],[Column1]]</f>
        <v>0.0466101694915254</v>
      </c>
      <c r="S11" s="41">
        <f>tblExpenses[[#This Row],[Feb]]/tblExpenses[[#Totals],[Feb]]</f>
        <v>0.0536585365853659</v>
      </c>
      <c r="T11" s="41">
        <f>tblExpenses[[#This Row],[Mar]]/tblExpenses[[#Totals],[Mar]]</f>
        <v>0.0682730923694779</v>
      </c>
      <c r="U11" s="41">
        <f>tblExpenses[[#This Row],[Apr]]/tblExpenses[[#Totals],[Apr]]</f>
        <v>0.0459770114942529</v>
      </c>
      <c r="V11" s="41">
        <f>tblExpenses[[#This Row],[May]]/tblExpenses[[#Totals],[May]]</f>
        <v>0.00778210116731518</v>
      </c>
      <c r="W11" s="41">
        <f>tblExpenses[[#This Row],[Jun]]/tblExpenses[[#Totals],[Jun]]</f>
        <v>0.0510948905109489</v>
      </c>
      <c r="X11" s="41">
        <f>tblExpenses[[#This Row],[Jul]]/tblExpenses[[#Totals],[Jul]]</f>
        <v>0.0451127819548872</v>
      </c>
      <c r="Y11" s="41">
        <f>tblExpenses[[#This Row],[Aug]]/tblExpenses[[#Totals],[Aug]]</f>
        <v>0.0425531914893617</v>
      </c>
      <c r="Z11" s="41">
        <f>tblExpenses[[#This Row],[Sep]]/tblExpenses[[#Totals],[Sep]]</f>
        <v>0.0782608695652174</v>
      </c>
      <c r="AA11" s="41">
        <f>tblExpenses[[#This Row],[Oct]]/tblExpenses[[#Totals],[Oct]]</f>
        <v>0.0424710424710425</v>
      </c>
      <c r="AB11" s="41">
        <f>tblExpenses[[#This Row],[Nov]]/tblExpenses[[#Totals],[Nov]]</f>
        <v>0.0777027027027027</v>
      </c>
      <c r="AC11" s="41">
        <f>tblExpenses[[#This Row],[Dec]]/tblExpenses[[#Totals],[Dec]]</f>
        <v>0.0476190476190476</v>
      </c>
      <c r="AD11" s="49">
        <f>tblExpenses[[#This Row],[Yearly]]/tblExpenses[[#Totals],[Yearly]]</f>
        <v>0.0506835611870624</v>
      </c>
    </row>
    <row r="12" customHeight="1" spans="2:30">
      <c r="B12" s="17" t="s">
        <v>64</v>
      </c>
      <c r="C12" t="s">
        <v>59</v>
      </c>
      <c r="D12" s="19">
        <v>2</v>
      </c>
      <c r="E12" s="19">
        <v>16</v>
      </c>
      <c r="F12" s="19">
        <v>6</v>
      </c>
      <c r="G12" s="19">
        <v>13</v>
      </c>
      <c r="H12" s="19">
        <v>11</v>
      </c>
      <c r="I12" s="19">
        <v>22</v>
      </c>
      <c r="J12" s="19">
        <v>21</v>
      </c>
      <c r="K12" s="19">
        <v>3</v>
      </c>
      <c r="L12" s="19">
        <v>12</v>
      </c>
      <c r="M12" s="19">
        <v>7</v>
      </c>
      <c r="N12" s="19">
        <v>17</v>
      </c>
      <c r="O12" s="19">
        <v>20</v>
      </c>
      <c r="P12" s="30">
        <f>SUM(tblExpenses[[#This Row],[Column1]:[Dec]])</f>
        <v>150</v>
      </c>
      <c r="Q12" s="39">
        <v>0.15</v>
      </c>
      <c r="R12" s="40">
        <f>tblExpenses[[#This Row],[Column1]]/tblExpenses[[#Totals],[Column1]]</f>
        <v>0.00847457627118644</v>
      </c>
      <c r="S12" s="41">
        <f>tblExpenses[[#This Row],[Feb]]/tblExpenses[[#Totals],[Feb]]</f>
        <v>0.0780487804878049</v>
      </c>
      <c r="T12" s="41">
        <f>tblExpenses[[#This Row],[Mar]]/tblExpenses[[#Totals],[Mar]]</f>
        <v>0.0240963855421687</v>
      </c>
      <c r="U12" s="41">
        <f>tblExpenses[[#This Row],[Apr]]/tblExpenses[[#Totals],[Apr]]</f>
        <v>0.0498084291187739</v>
      </c>
      <c r="V12" s="41">
        <f>tblExpenses[[#This Row],[May]]/tblExpenses[[#Totals],[May]]</f>
        <v>0.0428015564202335</v>
      </c>
      <c r="W12" s="41">
        <f>tblExpenses[[#This Row],[Jun]]/tblExpenses[[#Totals],[Jun]]</f>
        <v>0.0802919708029197</v>
      </c>
      <c r="X12" s="41">
        <f>tblExpenses[[#This Row],[Jul]]/tblExpenses[[#Totals],[Jul]]</f>
        <v>0.0789473684210526</v>
      </c>
      <c r="Y12" s="41">
        <f>tblExpenses[[#This Row],[Aug]]/tblExpenses[[#Totals],[Aug]]</f>
        <v>0.0127659574468085</v>
      </c>
      <c r="Z12" s="41">
        <f>tblExpenses[[#This Row],[Sep]]/tblExpenses[[#Totals],[Sep]]</f>
        <v>0.0521739130434783</v>
      </c>
      <c r="AA12" s="41">
        <f>tblExpenses[[#This Row],[Oct]]/tblExpenses[[#Totals],[Oct]]</f>
        <v>0.027027027027027</v>
      </c>
      <c r="AB12" s="41">
        <f>tblExpenses[[#This Row],[Nov]]/tblExpenses[[#Totals],[Nov]]</f>
        <v>0.0574324324324324</v>
      </c>
      <c r="AC12" s="41">
        <f>tblExpenses[[#This Row],[Dec]]/tblExpenses[[#Totals],[Dec]]</f>
        <v>0.0865800865800866</v>
      </c>
      <c r="AD12" s="49">
        <f>tblExpenses[[#This Row],[Yearly]]/tblExpenses[[#Totals],[Yearly]]</f>
        <v>0.0500166722240747</v>
      </c>
    </row>
    <row r="13" customHeight="1" spans="2:30">
      <c r="B13" s="17" t="s">
        <v>65</v>
      </c>
      <c r="C13" t="s">
        <v>59</v>
      </c>
      <c r="D13" s="19">
        <v>8</v>
      </c>
      <c r="E13" s="19">
        <v>17</v>
      </c>
      <c r="F13" s="19">
        <v>11</v>
      </c>
      <c r="G13" s="19">
        <v>11</v>
      </c>
      <c r="H13" s="19">
        <v>21</v>
      </c>
      <c r="I13" s="19">
        <v>9</v>
      </c>
      <c r="J13" s="19">
        <v>20</v>
      </c>
      <c r="K13" s="19">
        <v>3</v>
      </c>
      <c r="L13" s="19">
        <v>14</v>
      </c>
      <c r="M13" s="19">
        <v>22</v>
      </c>
      <c r="N13" s="19">
        <v>16</v>
      </c>
      <c r="O13" s="19">
        <v>12</v>
      </c>
      <c r="P13" s="30">
        <f>SUM(tblExpenses[[#This Row],[Column1]:[Dec]])</f>
        <v>164</v>
      </c>
      <c r="Q13" s="39">
        <v>0.12</v>
      </c>
      <c r="R13" s="40">
        <f>tblExpenses[[#This Row],[Column1]]/tblExpenses[[#Totals],[Column1]]</f>
        <v>0.0338983050847458</v>
      </c>
      <c r="S13" s="41">
        <f>tblExpenses[[#This Row],[Feb]]/tblExpenses[[#Totals],[Feb]]</f>
        <v>0.0829268292682927</v>
      </c>
      <c r="T13" s="41">
        <f>tblExpenses[[#This Row],[Mar]]/tblExpenses[[#Totals],[Mar]]</f>
        <v>0.0441767068273092</v>
      </c>
      <c r="U13" s="41">
        <f>tblExpenses[[#This Row],[Apr]]/tblExpenses[[#Totals],[Apr]]</f>
        <v>0.0421455938697318</v>
      </c>
      <c r="V13" s="41">
        <f>tblExpenses[[#This Row],[May]]/tblExpenses[[#Totals],[May]]</f>
        <v>0.0817120622568093</v>
      </c>
      <c r="W13" s="41">
        <f>tblExpenses[[#This Row],[Jun]]/tblExpenses[[#Totals],[Jun]]</f>
        <v>0.0328467153284672</v>
      </c>
      <c r="X13" s="41">
        <f>tblExpenses[[#This Row],[Jul]]/tblExpenses[[#Totals],[Jul]]</f>
        <v>0.075187969924812</v>
      </c>
      <c r="Y13" s="41">
        <f>tblExpenses[[#This Row],[Aug]]/tblExpenses[[#Totals],[Aug]]</f>
        <v>0.0127659574468085</v>
      </c>
      <c r="Z13" s="41">
        <f>tblExpenses[[#This Row],[Sep]]/tblExpenses[[#Totals],[Sep]]</f>
        <v>0.0608695652173913</v>
      </c>
      <c r="AA13" s="41">
        <f>tblExpenses[[#This Row],[Oct]]/tblExpenses[[#Totals],[Oct]]</f>
        <v>0.0849420849420849</v>
      </c>
      <c r="AB13" s="41">
        <f>tblExpenses[[#This Row],[Nov]]/tblExpenses[[#Totals],[Nov]]</f>
        <v>0.0540540540540541</v>
      </c>
      <c r="AC13" s="41">
        <f>tblExpenses[[#This Row],[Dec]]/tblExpenses[[#Totals],[Dec]]</f>
        <v>0.051948051948052</v>
      </c>
      <c r="AD13" s="49">
        <f>tblExpenses[[#This Row],[Yearly]]/tblExpenses[[#Totals],[Yearly]]</f>
        <v>0.0546848949649883</v>
      </c>
    </row>
    <row r="14" customHeight="1" spans="2:30">
      <c r="B14" s="17" t="s">
        <v>66</v>
      </c>
      <c r="C14" t="s">
        <v>59</v>
      </c>
      <c r="D14" s="19">
        <v>5</v>
      </c>
      <c r="E14" s="19">
        <v>13</v>
      </c>
      <c r="F14" s="19">
        <v>6</v>
      </c>
      <c r="G14" s="19">
        <v>15</v>
      </c>
      <c r="H14" s="19">
        <v>19</v>
      </c>
      <c r="I14" s="19">
        <v>10</v>
      </c>
      <c r="J14" s="19">
        <v>12</v>
      </c>
      <c r="K14" s="19">
        <v>9</v>
      </c>
      <c r="L14" s="19">
        <v>15</v>
      </c>
      <c r="M14" s="19">
        <v>16</v>
      </c>
      <c r="N14" s="19">
        <v>4</v>
      </c>
      <c r="O14" s="19">
        <v>9</v>
      </c>
      <c r="P14" s="30">
        <f>SUM(tblExpenses[[#This Row],[Column1]:[Dec]])</f>
        <v>133</v>
      </c>
      <c r="Q14" s="39">
        <v>0.09</v>
      </c>
      <c r="R14" s="40">
        <f>tblExpenses[[#This Row],[Column1]]/tblExpenses[[#Totals],[Column1]]</f>
        <v>0.0211864406779661</v>
      </c>
      <c r="S14" s="41">
        <f>tblExpenses[[#This Row],[Feb]]/tblExpenses[[#Totals],[Feb]]</f>
        <v>0.0634146341463415</v>
      </c>
      <c r="T14" s="41">
        <f>tblExpenses[[#This Row],[Mar]]/tblExpenses[[#Totals],[Mar]]</f>
        <v>0.0240963855421687</v>
      </c>
      <c r="U14" s="41">
        <f>tblExpenses[[#This Row],[Apr]]/tblExpenses[[#Totals],[Apr]]</f>
        <v>0.0574712643678161</v>
      </c>
      <c r="V14" s="41">
        <f>tblExpenses[[#This Row],[May]]/tblExpenses[[#Totals],[May]]</f>
        <v>0.0739299610894942</v>
      </c>
      <c r="W14" s="41">
        <f>tblExpenses[[#This Row],[Jun]]/tblExpenses[[#Totals],[Jun]]</f>
        <v>0.0364963503649635</v>
      </c>
      <c r="X14" s="41">
        <f>tblExpenses[[#This Row],[Jul]]/tblExpenses[[#Totals],[Jul]]</f>
        <v>0.0451127819548872</v>
      </c>
      <c r="Y14" s="41">
        <f>tblExpenses[[#This Row],[Aug]]/tblExpenses[[#Totals],[Aug]]</f>
        <v>0.0382978723404255</v>
      </c>
      <c r="Z14" s="41">
        <f>tblExpenses[[#This Row],[Sep]]/tblExpenses[[#Totals],[Sep]]</f>
        <v>0.0652173913043478</v>
      </c>
      <c r="AA14" s="41">
        <f>tblExpenses[[#This Row],[Oct]]/tblExpenses[[#Totals],[Oct]]</f>
        <v>0.0617760617760618</v>
      </c>
      <c r="AB14" s="41">
        <f>tblExpenses[[#This Row],[Nov]]/tblExpenses[[#Totals],[Nov]]</f>
        <v>0.0135135135135135</v>
      </c>
      <c r="AC14" s="41">
        <f>tblExpenses[[#This Row],[Dec]]/tblExpenses[[#Totals],[Dec]]</f>
        <v>0.038961038961039</v>
      </c>
      <c r="AD14" s="49">
        <f>tblExpenses[[#This Row],[Yearly]]/tblExpenses[[#Totals],[Yearly]]</f>
        <v>0.0443481160386796</v>
      </c>
    </row>
    <row r="15" customHeight="1" spans="2:30">
      <c r="B15" s="17" t="s">
        <v>67</v>
      </c>
      <c r="C15" t="s">
        <v>59</v>
      </c>
      <c r="D15" s="19">
        <v>8</v>
      </c>
      <c r="E15" s="19">
        <v>4</v>
      </c>
      <c r="F15" s="19">
        <v>23</v>
      </c>
      <c r="G15" s="19">
        <v>25</v>
      </c>
      <c r="H15" s="19">
        <v>10</v>
      </c>
      <c r="I15" s="19">
        <v>24</v>
      </c>
      <c r="J15" s="19">
        <v>22</v>
      </c>
      <c r="K15" s="19">
        <v>5</v>
      </c>
      <c r="L15" s="19">
        <v>12</v>
      </c>
      <c r="M15" s="19">
        <v>24</v>
      </c>
      <c r="N15" s="19">
        <v>24</v>
      </c>
      <c r="O15" s="19">
        <v>12</v>
      </c>
      <c r="P15" s="30">
        <f>SUM(tblExpenses[[#This Row],[Column1]:[Dec]])</f>
        <v>193</v>
      </c>
      <c r="Q15" s="39">
        <v>0.01</v>
      </c>
      <c r="R15" s="40">
        <f>tblExpenses[[#This Row],[Column1]]/tblExpenses[[#Totals],[Column1]]</f>
        <v>0.0338983050847458</v>
      </c>
      <c r="S15" s="41">
        <f>tblExpenses[[#This Row],[Feb]]/tblExpenses[[#Totals],[Feb]]</f>
        <v>0.0195121951219512</v>
      </c>
      <c r="T15" s="41">
        <f>tblExpenses[[#This Row],[Mar]]/tblExpenses[[#Totals],[Mar]]</f>
        <v>0.0923694779116466</v>
      </c>
      <c r="U15" s="41">
        <f>tblExpenses[[#This Row],[Apr]]/tblExpenses[[#Totals],[Apr]]</f>
        <v>0.0957854406130268</v>
      </c>
      <c r="V15" s="41">
        <f>tblExpenses[[#This Row],[May]]/tblExpenses[[#Totals],[May]]</f>
        <v>0.0389105058365759</v>
      </c>
      <c r="W15" s="41">
        <f>tblExpenses[[#This Row],[Jun]]/tblExpenses[[#Totals],[Jun]]</f>
        <v>0.0875912408759124</v>
      </c>
      <c r="X15" s="41">
        <f>tblExpenses[[#This Row],[Jul]]/tblExpenses[[#Totals],[Jul]]</f>
        <v>0.0827067669172932</v>
      </c>
      <c r="Y15" s="41">
        <f>tblExpenses[[#This Row],[Aug]]/tblExpenses[[#Totals],[Aug]]</f>
        <v>0.0212765957446809</v>
      </c>
      <c r="Z15" s="41">
        <f>tblExpenses[[#This Row],[Sep]]/tblExpenses[[#Totals],[Sep]]</f>
        <v>0.0521739130434783</v>
      </c>
      <c r="AA15" s="41">
        <f>tblExpenses[[#This Row],[Oct]]/tblExpenses[[#Totals],[Oct]]</f>
        <v>0.0926640926640927</v>
      </c>
      <c r="AB15" s="41">
        <f>tblExpenses[[#This Row],[Nov]]/tblExpenses[[#Totals],[Nov]]</f>
        <v>0.0810810810810811</v>
      </c>
      <c r="AC15" s="41">
        <f>tblExpenses[[#This Row],[Dec]]/tblExpenses[[#Totals],[Dec]]</f>
        <v>0.051948051948052</v>
      </c>
      <c r="AD15" s="49">
        <f>tblExpenses[[#This Row],[Yearly]]/tblExpenses[[#Totals],[Yearly]]</f>
        <v>0.0643547849283094</v>
      </c>
    </row>
    <row r="16" customHeight="1" spans="2:30">
      <c r="B16" s="17" t="s">
        <v>68</v>
      </c>
      <c r="C16" t="s">
        <v>59</v>
      </c>
      <c r="D16" s="19">
        <v>25</v>
      </c>
      <c r="E16" s="19">
        <v>2</v>
      </c>
      <c r="F16" s="19">
        <v>12</v>
      </c>
      <c r="G16" s="19">
        <v>25</v>
      </c>
      <c r="H16" s="19">
        <v>10</v>
      </c>
      <c r="I16" s="19">
        <v>24</v>
      </c>
      <c r="J16" s="19">
        <v>3</v>
      </c>
      <c r="K16" s="19">
        <v>20</v>
      </c>
      <c r="L16" s="19">
        <v>3</v>
      </c>
      <c r="M16" s="19">
        <v>9</v>
      </c>
      <c r="N16" s="19">
        <v>20</v>
      </c>
      <c r="O16" s="19">
        <v>18</v>
      </c>
      <c r="P16" s="30">
        <f>SUM(tblExpenses[[#This Row],[Column1]:[Dec]])</f>
        <v>171</v>
      </c>
      <c r="Q16" s="39">
        <v>0.01</v>
      </c>
      <c r="R16" s="40">
        <f>tblExpenses[[#This Row],[Column1]]/tblExpenses[[#Totals],[Column1]]</f>
        <v>0.105932203389831</v>
      </c>
      <c r="S16" s="41">
        <f>tblExpenses[[#This Row],[Feb]]/tblExpenses[[#Totals],[Feb]]</f>
        <v>0.00975609756097561</v>
      </c>
      <c r="T16" s="41">
        <f>tblExpenses[[#This Row],[Mar]]/tblExpenses[[#Totals],[Mar]]</f>
        <v>0.0481927710843374</v>
      </c>
      <c r="U16" s="41">
        <f>tblExpenses[[#This Row],[Apr]]/tblExpenses[[#Totals],[Apr]]</f>
        <v>0.0957854406130268</v>
      </c>
      <c r="V16" s="41">
        <f>tblExpenses[[#This Row],[May]]/tblExpenses[[#Totals],[May]]</f>
        <v>0.0389105058365759</v>
      </c>
      <c r="W16" s="41">
        <f>tblExpenses[[#This Row],[Jun]]/tblExpenses[[#Totals],[Jun]]</f>
        <v>0.0875912408759124</v>
      </c>
      <c r="X16" s="41">
        <f>tblExpenses[[#This Row],[Jul]]/tblExpenses[[#Totals],[Jul]]</f>
        <v>0.0112781954887218</v>
      </c>
      <c r="Y16" s="41">
        <f>tblExpenses[[#This Row],[Aug]]/tblExpenses[[#Totals],[Aug]]</f>
        <v>0.0851063829787234</v>
      </c>
      <c r="Z16" s="41">
        <f>tblExpenses[[#This Row],[Sep]]/tblExpenses[[#Totals],[Sep]]</f>
        <v>0.0130434782608696</v>
      </c>
      <c r="AA16" s="41">
        <f>tblExpenses[[#This Row],[Oct]]/tblExpenses[[#Totals],[Oct]]</f>
        <v>0.0347490347490347</v>
      </c>
      <c r="AB16" s="41">
        <f>tblExpenses[[#This Row],[Nov]]/tblExpenses[[#Totals],[Nov]]</f>
        <v>0.0675675675675676</v>
      </c>
      <c r="AC16" s="41">
        <f>tblExpenses[[#This Row],[Dec]]/tblExpenses[[#Totals],[Dec]]</f>
        <v>0.0779220779220779</v>
      </c>
      <c r="AD16" s="49">
        <f>tblExpenses[[#This Row],[Yearly]]/tblExpenses[[#Totals],[Yearly]]</f>
        <v>0.0570190063354451</v>
      </c>
    </row>
    <row r="17" customHeight="1" spans="2:30">
      <c r="B17" s="17" t="s">
        <v>69</v>
      </c>
      <c r="C17" t="s">
        <v>59</v>
      </c>
      <c r="D17" s="19">
        <v>16</v>
      </c>
      <c r="E17" s="19">
        <v>19</v>
      </c>
      <c r="F17" s="19">
        <v>9</v>
      </c>
      <c r="G17" s="19">
        <v>16</v>
      </c>
      <c r="H17" s="19">
        <v>13</v>
      </c>
      <c r="I17" s="19">
        <v>2</v>
      </c>
      <c r="J17" s="19">
        <v>4</v>
      </c>
      <c r="K17" s="19">
        <v>24</v>
      </c>
      <c r="L17" s="19">
        <v>16</v>
      </c>
      <c r="M17" s="19">
        <v>22</v>
      </c>
      <c r="N17" s="19">
        <v>7</v>
      </c>
      <c r="O17" s="19">
        <v>18</v>
      </c>
      <c r="P17" s="30">
        <f>SUM(tblExpenses[[#This Row],[Column1]:[Dec]])</f>
        <v>166</v>
      </c>
      <c r="Q17" s="39">
        <v>0.01</v>
      </c>
      <c r="R17" s="40">
        <f>tblExpenses[[#This Row],[Column1]]/tblExpenses[[#Totals],[Column1]]</f>
        <v>0.0677966101694915</v>
      </c>
      <c r="S17" s="41">
        <f>tblExpenses[[#This Row],[Feb]]/tblExpenses[[#Totals],[Feb]]</f>
        <v>0.0926829268292683</v>
      </c>
      <c r="T17" s="41">
        <f>tblExpenses[[#This Row],[Mar]]/tblExpenses[[#Totals],[Mar]]</f>
        <v>0.036144578313253</v>
      </c>
      <c r="U17" s="41">
        <f>tblExpenses[[#This Row],[Apr]]/tblExpenses[[#Totals],[Apr]]</f>
        <v>0.0613026819923372</v>
      </c>
      <c r="V17" s="41">
        <f>tblExpenses[[#This Row],[May]]/tblExpenses[[#Totals],[May]]</f>
        <v>0.0505836575875486</v>
      </c>
      <c r="W17" s="41">
        <f>tblExpenses[[#This Row],[Jun]]/tblExpenses[[#Totals],[Jun]]</f>
        <v>0.0072992700729927</v>
      </c>
      <c r="X17" s="41">
        <f>tblExpenses[[#This Row],[Jul]]/tblExpenses[[#Totals],[Jul]]</f>
        <v>0.0150375939849624</v>
      </c>
      <c r="Y17" s="41">
        <f>tblExpenses[[#This Row],[Aug]]/tblExpenses[[#Totals],[Aug]]</f>
        <v>0.102127659574468</v>
      </c>
      <c r="Z17" s="41">
        <f>tblExpenses[[#This Row],[Sep]]/tblExpenses[[#Totals],[Sep]]</f>
        <v>0.0695652173913043</v>
      </c>
      <c r="AA17" s="41">
        <f>tblExpenses[[#This Row],[Oct]]/tblExpenses[[#Totals],[Oct]]</f>
        <v>0.0849420849420849</v>
      </c>
      <c r="AB17" s="41">
        <f>tblExpenses[[#This Row],[Nov]]/tblExpenses[[#Totals],[Nov]]</f>
        <v>0.0236486486486486</v>
      </c>
      <c r="AC17" s="41">
        <f>tblExpenses[[#This Row],[Dec]]/tblExpenses[[#Totals],[Dec]]</f>
        <v>0.0779220779220779</v>
      </c>
      <c r="AD17" s="49">
        <f>tblExpenses[[#This Row],[Yearly]]/tblExpenses[[#Totals],[Yearly]]</f>
        <v>0.055351783927976</v>
      </c>
    </row>
    <row r="18" customHeight="1" spans="2:30">
      <c r="B18" s="17" t="s">
        <v>70</v>
      </c>
      <c r="C18" t="s">
        <v>59</v>
      </c>
      <c r="D18" s="19">
        <v>12</v>
      </c>
      <c r="E18" s="19">
        <v>9</v>
      </c>
      <c r="F18" s="19">
        <v>16</v>
      </c>
      <c r="G18" s="19">
        <v>19</v>
      </c>
      <c r="H18" s="19">
        <v>25</v>
      </c>
      <c r="I18" s="19">
        <v>17</v>
      </c>
      <c r="J18" s="19">
        <v>20</v>
      </c>
      <c r="K18" s="19">
        <v>14</v>
      </c>
      <c r="L18" s="19">
        <v>5</v>
      </c>
      <c r="M18" s="19">
        <v>14</v>
      </c>
      <c r="N18" s="19">
        <v>5</v>
      </c>
      <c r="O18" s="19">
        <v>2</v>
      </c>
      <c r="P18" s="30">
        <f>SUM(tblExpenses[[#This Row],[Column1]:[Dec]])</f>
        <v>158</v>
      </c>
      <c r="Q18" s="39">
        <v>0.01</v>
      </c>
      <c r="R18" s="40">
        <f>tblExpenses[[#This Row],[Column1]]/tblExpenses[[#Totals],[Column1]]</f>
        <v>0.0508474576271186</v>
      </c>
      <c r="S18" s="41">
        <f>tblExpenses[[#This Row],[Feb]]/tblExpenses[[#Totals],[Feb]]</f>
        <v>0.0439024390243902</v>
      </c>
      <c r="T18" s="41">
        <f>tblExpenses[[#This Row],[Mar]]/tblExpenses[[#Totals],[Mar]]</f>
        <v>0.0642570281124498</v>
      </c>
      <c r="U18" s="41">
        <f>tblExpenses[[#This Row],[Apr]]/tblExpenses[[#Totals],[Apr]]</f>
        <v>0.0727969348659004</v>
      </c>
      <c r="V18" s="41">
        <f>tblExpenses[[#This Row],[May]]/tblExpenses[[#Totals],[May]]</f>
        <v>0.0972762645914397</v>
      </c>
      <c r="W18" s="41">
        <f>tblExpenses[[#This Row],[Jun]]/tblExpenses[[#Totals],[Jun]]</f>
        <v>0.062043795620438</v>
      </c>
      <c r="X18" s="41">
        <f>tblExpenses[[#This Row],[Jul]]/tblExpenses[[#Totals],[Jul]]</f>
        <v>0.075187969924812</v>
      </c>
      <c r="Y18" s="41">
        <f>tblExpenses[[#This Row],[Aug]]/tblExpenses[[#Totals],[Aug]]</f>
        <v>0.0595744680851064</v>
      </c>
      <c r="Z18" s="41">
        <f>tblExpenses[[#This Row],[Sep]]/tblExpenses[[#Totals],[Sep]]</f>
        <v>0.0217391304347826</v>
      </c>
      <c r="AA18" s="41">
        <f>tblExpenses[[#This Row],[Oct]]/tblExpenses[[#Totals],[Oct]]</f>
        <v>0.0540540540540541</v>
      </c>
      <c r="AB18" s="41">
        <f>tblExpenses[[#This Row],[Nov]]/tblExpenses[[#Totals],[Nov]]</f>
        <v>0.0168918918918919</v>
      </c>
      <c r="AC18" s="41">
        <f>tblExpenses[[#This Row],[Dec]]/tblExpenses[[#Totals],[Dec]]</f>
        <v>0.00865800865800866</v>
      </c>
      <c r="AD18" s="49">
        <f>tblExpenses[[#This Row],[Yearly]]/tblExpenses[[#Totals],[Yearly]]</f>
        <v>0.0526842280760253</v>
      </c>
    </row>
    <row r="19" customHeight="1" spans="2:30">
      <c r="B19" s="17" t="s">
        <v>71</v>
      </c>
      <c r="C19" t="s">
        <v>59</v>
      </c>
      <c r="D19" s="19">
        <v>16</v>
      </c>
      <c r="E19" s="19">
        <v>13</v>
      </c>
      <c r="F19" s="19">
        <v>10</v>
      </c>
      <c r="G19" s="19">
        <v>7</v>
      </c>
      <c r="H19" s="19">
        <v>13</v>
      </c>
      <c r="I19" s="19">
        <v>3</v>
      </c>
      <c r="J19" s="19">
        <v>13</v>
      </c>
      <c r="K19" s="19">
        <v>17</v>
      </c>
      <c r="L19" s="19">
        <v>9</v>
      </c>
      <c r="M19" s="19">
        <v>4</v>
      </c>
      <c r="N19" s="19">
        <v>22</v>
      </c>
      <c r="O19" s="19">
        <v>18</v>
      </c>
      <c r="P19" s="30">
        <f>SUM(tblExpenses[[#This Row],[Column1]:[Dec]])</f>
        <v>145</v>
      </c>
      <c r="Q19" s="39">
        <v>0.14</v>
      </c>
      <c r="R19" s="40">
        <f>tblExpenses[[#This Row],[Column1]]/tblExpenses[[#Totals],[Column1]]</f>
        <v>0.0677966101694915</v>
      </c>
      <c r="S19" s="41">
        <f>tblExpenses[[#This Row],[Feb]]/tblExpenses[[#Totals],[Feb]]</f>
        <v>0.0634146341463415</v>
      </c>
      <c r="T19" s="41">
        <f>tblExpenses[[#This Row],[Mar]]/tblExpenses[[#Totals],[Mar]]</f>
        <v>0.0401606425702811</v>
      </c>
      <c r="U19" s="41">
        <f>tblExpenses[[#This Row],[Apr]]/tblExpenses[[#Totals],[Apr]]</f>
        <v>0.0268199233716475</v>
      </c>
      <c r="V19" s="41">
        <f>tblExpenses[[#This Row],[May]]/tblExpenses[[#Totals],[May]]</f>
        <v>0.0505836575875486</v>
      </c>
      <c r="W19" s="41">
        <f>tblExpenses[[#This Row],[Jun]]/tblExpenses[[#Totals],[Jun]]</f>
        <v>0.0109489051094891</v>
      </c>
      <c r="X19" s="41">
        <f>tblExpenses[[#This Row],[Jul]]/tblExpenses[[#Totals],[Jul]]</f>
        <v>0.0488721804511278</v>
      </c>
      <c r="Y19" s="41">
        <f>tblExpenses[[#This Row],[Aug]]/tblExpenses[[#Totals],[Aug]]</f>
        <v>0.0723404255319149</v>
      </c>
      <c r="Z19" s="41">
        <f>tblExpenses[[#This Row],[Sep]]/tblExpenses[[#Totals],[Sep]]</f>
        <v>0.0391304347826087</v>
      </c>
      <c r="AA19" s="41">
        <f>tblExpenses[[#This Row],[Oct]]/tblExpenses[[#Totals],[Oct]]</f>
        <v>0.0154440154440154</v>
      </c>
      <c r="AB19" s="41">
        <f>tblExpenses[[#This Row],[Nov]]/tblExpenses[[#Totals],[Nov]]</f>
        <v>0.0743243243243243</v>
      </c>
      <c r="AC19" s="41">
        <f>tblExpenses[[#This Row],[Dec]]/tblExpenses[[#Totals],[Dec]]</f>
        <v>0.0779220779220779</v>
      </c>
      <c r="AD19" s="49">
        <f>tblExpenses[[#This Row],[Yearly]]/tblExpenses[[#Totals],[Yearly]]</f>
        <v>0.0483494498166055</v>
      </c>
    </row>
    <row r="20" customHeight="1" spans="2:30">
      <c r="B20" s="17" t="s">
        <v>72</v>
      </c>
      <c r="C20" t="s">
        <v>59</v>
      </c>
      <c r="D20" s="19">
        <v>3</v>
      </c>
      <c r="E20" s="19">
        <v>2</v>
      </c>
      <c r="F20" s="19">
        <v>19</v>
      </c>
      <c r="G20" s="19">
        <v>21</v>
      </c>
      <c r="H20" s="19">
        <v>13</v>
      </c>
      <c r="I20" s="19">
        <v>9</v>
      </c>
      <c r="J20" s="19">
        <v>7</v>
      </c>
      <c r="K20" s="19">
        <v>13</v>
      </c>
      <c r="L20" s="19">
        <v>3</v>
      </c>
      <c r="M20" s="19">
        <v>6</v>
      </c>
      <c r="N20" s="19">
        <v>10</v>
      </c>
      <c r="O20" s="19">
        <v>13</v>
      </c>
      <c r="P20" s="30">
        <f>SUM(tblExpenses[[#This Row],[Column1]:[Dec]])</f>
        <v>119</v>
      </c>
      <c r="Q20" s="39">
        <v>0.06</v>
      </c>
      <c r="R20" s="40">
        <f>tblExpenses[[#This Row],[Column1]]/tblExpenses[[#Totals],[Column1]]</f>
        <v>0.0127118644067797</v>
      </c>
      <c r="S20" s="41">
        <f>tblExpenses[[#This Row],[Feb]]/tblExpenses[[#Totals],[Feb]]</f>
        <v>0.00975609756097561</v>
      </c>
      <c r="T20" s="41">
        <f>tblExpenses[[#This Row],[Mar]]/tblExpenses[[#Totals],[Mar]]</f>
        <v>0.0763052208835341</v>
      </c>
      <c r="U20" s="41">
        <f>tblExpenses[[#This Row],[Apr]]/tblExpenses[[#Totals],[Apr]]</f>
        <v>0.0804597701149425</v>
      </c>
      <c r="V20" s="41">
        <f>tblExpenses[[#This Row],[May]]/tblExpenses[[#Totals],[May]]</f>
        <v>0.0505836575875486</v>
      </c>
      <c r="W20" s="41">
        <f>tblExpenses[[#This Row],[Jun]]/tblExpenses[[#Totals],[Jun]]</f>
        <v>0.0328467153284672</v>
      </c>
      <c r="X20" s="41">
        <f>tblExpenses[[#This Row],[Jul]]/tblExpenses[[#Totals],[Jul]]</f>
        <v>0.0263157894736842</v>
      </c>
      <c r="Y20" s="41">
        <f>tblExpenses[[#This Row],[Aug]]/tblExpenses[[#Totals],[Aug]]</f>
        <v>0.0553191489361702</v>
      </c>
      <c r="Z20" s="41">
        <f>tblExpenses[[#This Row],[Sep]]/tblExpenses[[#Totals],[Sep]]</f>
        <v>0.0130434782608696</v>
      </c>
      <c r="AA20" s="41">
        <f>tblExpenses[[#This Row],[Oct]]/tblExpenses[[#Totals],[Oct]]</f>
        <v>0.0231660231660232</v>
      </c>
      <c r="AB20" s="41">
        <f>tblExpenses[[#This Row],[Nov]]/tblExpenses[[#Totals],[Nov]]</f>
        <v>0.0337837837837838</v>
      </c>
      <c r="AC20" s="41">
        <f>tblExpenses[[#This Row],[Dec]]/tblExpenses[[#Totals],[Dec]]</f>
        <v>0.0562770562770563</v>
      </c>
      <c r="AD20" s="49">
        <f>tblExpenses[[#This Row],[Yearly]]/tblExpenses[[#Totals],[Yearly]]</f>
        <v>0.0396798932977659</v>
      </c>
    </row>
    <row r="21" customHeight="1" spans="2:30">
      <c r="B21" s="17" t="s">
        <v>73</v>
      </c>
      <c r="C21" t="s">
        <v>59</v>
      </c>
      <c r="D21" s="19">
        <v>8</v>
      </c>
      <c r="E21" s="19">
        <v>7</v>
      </c>
      <c r="F21" s="19">
        <v>6</v>
      </c>
      <c r="G21" s="19">
        <v>7</v>
      </c>
      <c r="H21" s="19">
        <v>7</v>
      </c>
      <c r="I21" s="19">
        <v>6</v>
      </c>
      <c r="J21" s="19">
        <v>15</v>
      </c>
      <c r="K21" s="19">
        <v>23</v>
      </c>
      <c r="L21" s="19">
        <v>21</v>
      </c>
      <c r="M21" s="19">
        <v>16</v>
      </c>
      <c r="N21" s="19">
        <v>19</v>
      </c>
      <c r="O21" s="19">
        <v>7</v>
      </c>
      <c r="P21" s="30">
        <f>SUM(tblExpenses[[#This Row],[Column1]:[Dec]])</f>
        <v>142</v>
      </c>
      <c r="Q21" s="39">
        <v>0.01</v>
      </c>
      <c r="R21" s="40">
        <f>tblExpenses[[#This Row],[Column1]]/tblExpenses[[#Totals],[Column1]]</f>
        <v>0.0338983050847458</v>
      </c>
      <c r="S21" s="41">
        <f>tblExpenses[[#This Row],[Feb]]/tblExpenses[[#Totals],[Feb]]</f>
        <v>0.0341463414634146</v>
      </c>
      <c r="T21" s="41">
        <f>tblExpenses[[#This Row],[Mar]]/tblExpenses[[#Totals],[Mar]]</f>
        <v>0.0240963855421687</v>
      </c>
      <c r="U21" s="41">
        <f>tblExpenses[[#This Row],[Apr]]/tblExpenses[[#Totals],[Apr]]</f>
        <v>0.0268199233716475</v>
      </c>
      <c r="V21" s="41">
        <f>tblExpenses[[#This Row],[May]]/tblExpenses[[#Totals],[May]]</f>
        <v>0.0272373540856031</v>
      </c>
      <c r="W21" s="41">
        <f>tblExpenses[[#This Row],[Jun]]/tblExpenses[[#Totals],[Jun]]</f>
        <v>0.0218978102189781</v>
      </c>
      <c r="X21" s="41">
        <f>tblExpenses[[#This Row],[Jul]]/tblExpenses[[#Totals],[Jul]]</f>
        <v>0.056390977443609</v>
      </c>
      <c r="Y21" s="41">
        <f>tblExpenses[[#This Row],[Aug]]/tblExpenses[[#Totals],[Aug]]</f>
        <v>0.0978723404255319</v>
      </c>
      <c r="Z21" s="41">
        <f>tblExpenses[[#This Row],[Sep]]/tblExpenses[[#Totals],[Sep]]</f>
        <v>0.091304347826087</v>
      </c>
      <c r="AA21" s="41">
        <f>tblExpenses[[#This Row],[Oct]]/tblExpenses[[#Totals],[Oct]]</f>
        <v>0.0617760617760618</v>
      </c>
      <c r="AB21" s="41">
        <f>tblExpenses[[#This Row],[Nov]]/tblExpenses[[#Totals],[Nov]]</f>
        <v>0.0641891891891892</v>
      </c>
      <c r="AC21" s="41">
        <f>tblExpenses[[#This Row],[Dec]]/tblExpenses[[#Totals],[Dec]]</f>
        <v>0.0303030303030303</v>
      </c>
      <c r="AD21" s="49">
        <f>tblExpenses[[#This Row],[Yearly]]/tblExpenses[[#Totals],[Yearly]]</f>
        <v>0.047349116372124</v>
      </c>
    </row>
    <row r="22" customHeight="1" spans="2:30">
      <c r="B22" s="17" t="s">
        <v>74</v>
      </c>
      <c r="C22" t="s">
        <v>59</v>
      </c>
      <c r="D22" s="19">
        <v>14</v>
      </c>
      <c r="E22" s="19">
        <v>4</v>
      </c>
      <c r="F22" s="19">
        <v>24</v>
      </c>
      <c r="G22" s="19">
        <v>6</v>
      </c>
      <c r="H22" s="19">
        <v>20</v>
      </c>
      <c r="I22" s="19">
        <v>14</v>
      </c>
      <c r="J22" s="19">
        <v>21</v>
      </c>
      <c r="K22" s="19">
        <v>20</v>
      </c>
      <c r="L22" s="19">
        <v>22</v>
      </c>
      <c r="M22" s="19">
        <v>3</v>
      </c>
      <c r="N22" s="19">
        <v>14</v>
      </c>
      <c r="O22" s="19">
        <v>6</v>
      </c>
      <c r="P22" s="30">
        <f>SUM(tblExpenses[[#This Row],[Column1]:[Dec]])</f>
        <v>168</v>
      </c>
      <c r="Q22" s="39">
        <v>0.01</v>
      </c>
      <c r="R22" s="40">
        <f>tblExpenses[[#This Row],[Column1]]/tblExpenses[[#Totals],[Column1]]</f>
        <v>0.0593220338983051</v>
      </c>
      <c r="S22" s="41">
        <f>tblExpenses[[#This Row],[Feb]]/tblExpenses[[#Totals],[Feb]]</f>
        <v>0.0195121951219512</v>
      </c>
      <c r="T22" s="41">
        <f>tblExpenses[[#This Row],[Mar]]/tblExpenses[[#Totals],[Mar]]</f>
        <v>0.0963855421686747</v>
      </c>
      <c r="U22" s="41">
        <f>tblExpenses[[#This Row],[Apr]]/tblExpenses[[#Totals],[Apr]]</f>
        <v>0.0229885057471264</v>
      </c>
      <c r="V22" s="41">
        <f>tblExpenses[[#This Row],[May]]/tblExpenses[[#Totals],[May]]</f>
        <v>0.0778210116731518</v>
      </c>
      <c r="W22" s="41">
        <f>tblExpenses[[#This Row],[Jun]]/tblExpenses[[#Totals],[Jun]]</f>
        <v>0.0510948905109489</v>
      </c>
      <c r="X22" s="41">
        <f>tblExpenses[[#This Row],[Jul]]/tblExpenses[[#Totals],[Jul]]</f>
        <v>0.0789473684210526</v>
      </c>
      <c r="Y22" s="41">
        <f>tblExpenses[[#This Row],[Aug]]/tblExpenses[[#Totals],[Aug]]</f>
        <v>0.0851063829787234</v>
      </c>
      <c r="Z22" s="41">
        <f>tblExpenses[[#This Row],[Sep]]/tblExpenses[[#Totals],[Sep]]</f>
        <v>0.0956521739130435</v>
      </c>
      <c r="AA22" s="41">
        <f>tblExpenses[[#This Row],[Oct]]/tblExpenses[[#Totals],[Oct]]</f>
        <v>0.0115830115830116</v>
      </c>
      <c r="AB22" s="41">
        <f>tblExpenses[[#This Row],[Nov]]/tblExpenses[[#Totals],[Nov]]</f>
        <v>0.0472972972972973</v>
      </c>
      <c r="AC22" s="41">
        <f>tblExpenses[[#This Row],[Dec]]/tblExpenses[[#Totals],[Dec]]</f>
        <v>0.025974025974026</v>
      </c>
      <c r="AD22" s="49">
        <f>tblExpenses[[#This Row],[Yearly]]/tblExpenses[[#Totals],[Yearly]]</f>
        <v>0.0560186728909637</v>
      </c>
    </row>
    <row r="23" customHeight="1" spans="2:30">
      <c r="B23" s="17" t="s">
        <v>74</v>
      </c>
      <c r="C23" t="s">
        <v>59</v>
      </c>
      <c r="D23" s="19">
        <v>14</v>
      </c>
      <c r="E23" s="19">
        <v>7</v>
      </c>
      <c r="F23" s="19">
        <v>24</v>
      </c>
      <c r="G23" s="19">
        <v>10</v>
      </c>
      <c r="H23" s="19">
        <v>7</v>
      </c>
      <c r="I23" s="19">
        <v>24</v>
      </c>
      <c r="J23" s="19">
        <v>2</v>
      </c>
      <c r="K23" s="19">
        <v>11</v>
      </c>
      <c r="L23" s="19">
        <v>21</v>
      </c>
      <c r="M23" s="19">
        <v>19</v>
      </c>
      <c r="N23" s="19">
        <v>19</v>
      </c>
      <c r="O23" s="19">
        <v>20</v>
      </c>
      <c r="P23" s="30">
        <f>SUM(tblExpenses[[#This Row],[Column1]:[Dec]])</f>
        <v>178</v>
      </c>
      <c r="Q23" s="39">
        <v>0.01</v>
      </c>
      <c r="R23" s="40">
        <f>tblExpenses[[#This Row],[Column1]]/tblExpenses[[#Totals],[Column1]]</f>
        <v>0.0593220338983051</v>
      </c>
      <c r="S23" s="41">
        <f>tblExpenses[[#This Row],[Feb]]/tblExpenses[[#Totals],[Feb]]</f>
        <v>0.0341463414634146</v>
      </c>
      <c r="T23" s="41">
        <f>tblExpenses[[#This Row],[Mar]]/tblExpenses[[#Totals],[Mar]]</f>
        <v>0.0963855421686747</v>
      </c>
      <c r="U23" s="41">
        <f>tblExpenses[[#This Row],[Apr]]/tblExpenses[[#Totals],[Apr]]</f>
        <v>0.0383141762452107</v>
      </c>
      <c r="V23" s="41">
        <f>tblExpenses[[#This Row],[May]]/tblExpenses[[#Totals],[May]]</f>
        <v>0.0272373540856031</v>
      </c>
      <c r="W23" s="41">
        <f>tblExpenses[[#This Row],[Jun]]/tblExpenses[[#Totals],[Jun]]</f>
        <v>0.0875912408759124</v>
      </c>
      <c r="X23" s="41">
        <f>tblExpenses[[#This Row],[Jul]]/tblExpenses[[#Totals],[Jul]]</f>
        <v>0.0075187969924812</v>
      </c>
      <c r="Y23" s="41">
        <f>tblExpenses[[#This Row],[Aug]]/tblExpenses[[#Totals],[Aug]]</f>
        <v>0.0468085106382979</v>
      </c>
      <c r="Z23" s="41">
        <f>tblExpenses[[#This Row],[Sep]]/tblExpenses[[#Totals],[Sep]]</f>
        <v>0.091304347826087</v>
      </c>
      <c r="AA23" s="41">
        <f>tblExpenses[[#This Row],[Oct]]/tblExpenses[[#Totals],[Oct]]</f>
        <v>0.0733590733590734</v>
      </c>
      <c r="AB23" s="41">
        <f>tblExpenses[[#This Row],[Nov]]/tblExpenses[[#Totals],[Nov]]</f>
        <v>0.0641891891891892</v>
      </c>
      <c r="AC23" s="41">
        <f>tblExpenses[[#This Row],[Dec]]/tblExpenses[[#Totals],[Dec]]</f>
        <v>0.0865800865800866</v>
      </c>
      <c r="AD23" s="49">
        <f>tblExpenses[[#This Row],[Yearly]]/tblExpenses[[#Totals],[Yearly]]</f>
        <v>0.059353117705902</v>
      </c>
    </row>
    <row r="24" customHeight="1" spans="1:30">
      <c r="A24" s="12"/>
      <c r="B24" s="17" t="s">
        <v>74</v>
      </c>
      <c r="C24" t="s">
        <v>59</v>
      </c>
      <c r="D24" s="19">
        <v>11</v>
      </c>
      <c r="E24" s="19">
        <v>8</v>
      </c>
      <c r="F24" s="19">
        <v>25</v>
      </c>
      <c r="G24" s="19">
        <v>11</v>
      </c>
      <c r="H24" s="19">
        <v>9</v>
      </c>
      <c r="I24" s="19">
        <v>24</v>
      </c>
      <c r="J24" s="19">
        <v>13</v>
      </c>
      <c r="K24" s="19">
        <v>14</v>
      </c>
      <c r="L24" s="19">
        <v>19</v>
      </c>
      <c r="M24" s="19">
        <v>24</v>
      </c>
      <c r="N24" s="19">
        <v>15</v>
      </c>
      <c r="O24" s="19">
        <v>7</v>
      </c>
      <c r="P24" s="30">
        <f>SUM(tblExpenses[[#This Row],[Column1]:[Dec]])</f>
        <v>180</v>
      </c>
      <c r="Q24" s="39">
        <v>0.01</v>
      </c>
      <c r="R24" s="40">
        <f>tblExpenses[[#This Row],[Column1]]/tblExpenses[[#Totals],[Column1]]</f>
        <v>0.0466101694915254</v>
      </c>
      <c r="S24" s="41">
        <f>tblExpenses[[#This Row],[Feb]]/tblExpenses[[#Totals],[Feb]]</f>
        <v>0.0390243902439024</v>
      </c>
      <c r="T24" s="41">
        <f>tblExpenses[[#This Row],[Mar]]/tblExpenses[[#Totals],[Mar]]</f>
        <v>0.100401606425703</v>
      </c>
      <c r="U24" s="41">
        <f>tblExpenses[[#This Row],[Apr]]/tblExpenses[[#Totals],[Apr]]</f>
        <v>0.0421455938697318</v>
      </c>
      <c r="V24" s="41">
        <f>tblExpenses[[#This Row],[May]]/tblExpenses[[#Totals],[May]]</f>
        <v>0.0350194552529183</v>
      </c>
      <c r="W24" s="41">
        <f>tblExpenses[[#This Row],[Jun]]/tblExpenses[[#Totals],[Jun]]</f>
        <v>0.0875912408759124</v>
      </c>
      <c r="X24" s="41">
        <f>tblExpenses[[#This Row],[Jul]]/tblExpenses[[#Totals],[Jul]]</f>
        <v>0.0488721804511278</v>
      </c>
      <c r="Y24" s="41">
        <f>tblExpenses[[#This Row],[Aug]]/tblExpenses[[#Totals],[Aug]]</f>
        <v>0.0595744680851064</v>
      </c>
      <c r="Z24" s="41">
        <f>tblExpenses[[#This Row],[Sep]]/tblExpenses[[#Totals],[Sep]]</f>
        <v>0.0826086956521739</v>
      </c>
      <c r="AA24" s="41">
        <f>tblExpenses[[#This Row],[Oct]]/tblExpenses[[#Totals],[Oct]]</f>
        <v>0.0926640926640927</v>
      </c>
      <c r="AB24" s="41">
        <f>tblExpenses[[#This Row],[Nov]]/tblExpenses[[#Totals],[Nov]]</f>
        <v>0.0506756756756757</v>
      </c>
      <c r="AC24" s="41">
        <f>tblExpenses[[#This Row],[Dec]]/tblExpenses[[#Totals],[Dec]]</f>
        <v>0.0303030303030303</v>
      </c>
      <c r="AD24" s="49">
        <f>tblExpenses[[#This Row],[Yearly]]/tblExpenses[[#Totals],[Yearly]]</f>
        <v>0.0600200066688896</v>
      </c>
    </row>
    <row r="25" customHeight="1" spans="1:30">
      <c r="A25" s="20"/>
      <c r="B25" s="17" t="s">
        <v>75</v>
      </c>
      <c r="C25" t="s">
        <v>59</v>
      </c>
      <c r="D25" s="19">
        <v>8</v>
      </c>
      <c r="E25" s="19">
        <v>20</v>
      </c>
      <c r="F25" s="19">
        <v>11</v>
      </c>
      <c r="G25" s="19">
        <v>11</v>
      </c>
      <c r="H25" s="19">
        <v>11</v>
      </c>
      <c r="I25" s="19">
        <v>20</v>
      </c>
      <c r="J25" s="19">
        <v>12</v>
      </c>
      <c r="K25" s="19">
        <v>16</v>
      </c>
      <c r="L25" s="19">
        <v>5</v>
      </c>
      <c r="M25" s="19">
        <v>7</v>
      </c>
      <c r="N25" s="19">
        <v>21</v>
      </c>
      <c r="O25" s="19">
        <v>3</v>
      </c>
      <c r="P25" s="30">
        <f>SUM(tblExpenses[[#This Row],[Column1]:[Dec]])</f>
        <v>145</v>
      </c>
      <c r="Q25" s="39">
        <v>0.02</v>
      </c>
      <c r="R25" s="40">
        <f>tblExpenses[[#This Row],[Column1]]/tblExpenses[[#Totals],[Column1]]</f>
        <v>0.0338983050847458</v>
      </c>
      <c r="S25" s="41">
        <f>tblExpenses[[#This Row],[Feb]]/tblExpenses[[#Totals],[Feb]]</f>
        <v>0.0975609756097561</v>
      </c>
      <c r="T25" s="41">
        <f>tblExpenses[[#This Row],[Mar]]/tblExpenses[[#Totals],[Mar]]</f>
        <v>0.0441767068273092</v>
      </c>
      <c r="U25" s="41">
        <f>tblExpenses[[#This Row],[Apr]]/tblExpenses[[#Totals],[Apr]]</f>
        <v>0.0421455938697318</v>
      </c>
      <c r="V25" s="41">
        <f>tblExpenses[[#This Row],[May]]/tblExpenses[[#Totals],[May]]</f>
        <v>0.0428015564202335</v>
      </c>
      <c r="W25" s="41">
        <f>tblExpenses[[#This Row],[Jun]]/tblExpenses[[#Totals],[Jun]]</f>
        <v>0.072992700729927</v>
      </c>
      <c r="X25" s="41">
        <f>tblExpenses[[#This Row],[Jul]]/tblExpenses[[#Totals],[Jul]]</f>
        <v>0.0451127819548872</v>
      </c>
      <c r="Y25" s="41">
        <f>tblExpenses[[#This Row],[Aug]]/tblExpenses[[#Totals],[Aug]]</f>
        <v>0.0680851063829787</v>
      </c>
      <c r="Z25" s="41">
        <f>tblExpenses[[#This Row],[Sep]]/tblExpenses[[#Totals],[Sep]]</f>
        <v>0.0217391304347826</v>
      </c>
      <c r="AA25" s="41">
        <f>tblExpenses[[#This Row],[Oct]]/tblExpenses[[#Totals],[Oct]]</f>
        <v>0.027027027027027</v>
      </c>
      <c r="AB25" s="41">
        <f>tblExpenses[[#This Row],[Nov]]/tblExpenses[[#Totals],[Nov]]</f>
        <v>0.0709459459459459</v>
      </c>
      <c r="AC25" s="41">
        <f>tblExpenses[[#This Row],[Dec]]/tblExpenses[[#Totals],[Dec]]</f>
        <v>0.012987012987013</v>
      </c>
      <c r="AD25" s="49">
        <f>tblExpenses[[#This Row],[Yearly]]/tblExpenses[[#Totals],[Yearly]]</f>
        <v>0.0483494498166055</v>
      </c>
    </row>
    <row r="26" s="1" customFormat="1" customHeight="1" spans="2:32">
      <c r="B26" s="21" t="s">
        <v>76</v>
      </c>
      <c r="C26" t="s">
        <v>59</v>
      </c>
      <c r="D26" s="19">
        <f>SUBTOTAL(109,tblExpenses[Column1])</f>
        <v>236</v>
      </c>
      <c r="E26" s="19">
        <f>SUBTOTAL(109,tblExpenses[Feb])</f>
        <v>205</v>
      </c>
      <c r="F26" s="19">
        <f>SUBTOTAL(109,tblExpenses[Mar])</f>
        <v>249</v>
      </c>
      <c r="G26" s="19">
        <f>SUBTOTAL(109,tblExpenses[Apr])</f>
        <v>261</v>
      </c>
      <c r="H26" s="19">
        <f>SUBTOTAL(109,tblExpenses[May])</f>
        <v>257</v>
      </c>
      <c r="I26" s="19">
        <f>SUBTOTAL(109,tblExpenses[Jun])</f>
        <v>274</v>
      </c>
      <c r="J26" s="19">
        <f>SUBTOTAL(109,tblExpenses[Jul])</f>
        <v>266</v>
      </c>
      <c r="K26" s="19">
        <f>SUBTOTAL(109,tblExpenses[Aug])</f>
        <v>235</v>
      </c>
      <c r="L26" s="19">
        <f>SUBTOTAL(109,tblExpenses[Sep])</f>
        <v>230</v>
      </c>
      <c r="M26" s="19">
        <f>SUBTOTAL(109,tblExpenses[Oct])</f>
        <v>259</v>
      </c>
      <c r="N26" s="19">
        <f>SUBTOTAL(109,tblExpenses[Nov])</f>
        <v>296</v>
      </c>
      <c r="O26" s="19">
        <f>SUBTOTAL(109,tblExpenses[Dec])</f>
        <v>231</v>
      </c>
      <c r="P26" s="31">
        <f>SUBTOTAL(109,tblExpenses[Yearly])</f>
        <v>2999</v>
      </c>
      <c r="Q26" s="39">
        <f>SUBTOTAL(109,tblExpenses[Index %])</f>
        <v>1</v>
      </c>
      <c r="R26" s="42">
        <f>SUBTOTAL(109,tblExpenses[Jan %])</f>
        <v>1</v>
      </c>
      <c r="S26" s="43">
        <f>SUBTOTAL(109,tblExpenses[Feb %])</f>
        <v>1</v>
      </c>
      <c r="T26" s="43">
        <f>SUBTOTAL(109,tblExpenses[Mar %])</f>
        <v>1</v>
      </c>
      <c r="U26" s="43">
        <f>SUBTOTAL(109,tblExpenses[Apr %])</f>
        <v>1</v>
      </c>
      <c r="V26" s="43">
        <f>SUBTOTAL(109,tblExpenses[May %])</f>
        <v>1</v>
      </c>
      <c r="W26" s="43">
        <f>SUBTOTAL(109,tblExpenses[Jun %])</f>
        <v>1</v>
      </c>
      <c r="X26" s="43">
        <f>SUBTOTAL(109,tblExpenses[Jul %])</f>
        <v>1</v>
      </c>
      <c r="Y26" s="43">
        <f>SUBTOTAL(109,tblExpenses[Aug %])</f>
        <v>1</v>
      </c>
      <c r="Z26" s="43">
        <f>SUBTOTAL(109,tblExpenses[Sep %])</f>
        <v>1</v>
      </c>
      <c r="AA26" s="43">
        <f>SUBTOTAL(109,tblExpenses[Oct %])</f>
        <v>1</v>
      </c>
      <c r="AB26" s="43">
        <f>SUBTOTAL(109,tblExpenses[Nov %])</f>
        <v>1</v>
      </c>
      <c r="AC26" s="43">
        <f>SUBTOTAL(109,tblExpenses[Dec %])</f>
        <v>1</v>
      </c>
      <c r="AD26" s="50">
        <f>SUBTOTAL(109,tblExpenses[Year %])</f>
        <v>1</v>
      </c>
      <c r="AE26"/>
      <c r="AF26"/>
    </row>
    <row r="27" ht="9.9" customHeight="1" spans="2:30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customHeight="1" spans="2:30">
      <c r="B28" s="23" t="s">
        <v>77</v>
      </c>
      <c r="C28" s="24"/>
      <c r="D28" s="25">
        <f>'Cost of Sales'!$D$16-tblExpenses[[#Totals],[Column1]]</f>
        <v>123</v>
      </c>
      <c r="E28" s="25">
        <f>'Cost of Sales'!E16-tblExpenses[[#Totals],[Feb]]</f>
        <v>175</v>
      </c>
      <c r="F28" s="25">
        <f>'Cost of Sales'!F16-tblExpenses[[#Totals],[Mar]]</f>
        <v>256</v>
      </c>
      <c r="G28" s="25">
        <f>'Cost of Sales'!G16-tblExpenses[[#Totals],[Apr]]</f>
        <v>109</v>
      </c>
      <c r="H28" s="25">
        <f>'Cost of Sales'!H16-tblExpenses[[#Totals],[May]]</f>
        <v>156</v>
      </c>
      <c r="I28" s="25">
        <f>'Cost of Sales'!I16-tblExpenses[[#Totals],[Jun]]</f>
        <v>-8</v>
      </c>
      <c r="J28" s="25">
        <f>'Cost of Sales'!J16-tblExpenses[[#Totals],[Jul]]</f>
        <v>32</v>
      </c>
      <c r="K28" s="25">
        <f>'Cost of Sales'!K16-tblExpenses[[#Totals],[Aug]]</f>
        <v>214</v>
      </c>
      <c r="L28" s="25">
        <f>'Cost of Sales'!L16-tblExpenses[[#Totals],[Sep]]</f>
        <v>100</v>
      </c>
      <c r="M28" s="25">
        <f>'Cost of Sales'!M16-tblExpenses[[#Totals],[Oct]]</f>
        <v>148</v>
      </c>
      <c r="N28" s="25">
        <f>'Cost of Sales'!N16-tblExpenses[[#Totals],[Nov]]</f>
        <v>179</v>
      </c>
      <c r="O28" s="25">
        <f>'Cost of Sales'!O16-tblExpenses[[#Totals],[Dec]]</f>
        <v>359</v>
      </c>
      <c r="P28" s="25">
        <f>SUM(D28:O28)</f>
        <v>1843</v>
      </c>
      <c r="Q28" s="44"/>
      <c r="R28" s="45">
        <f>D28/$P$28</f>
        <v>0.0667390124796527</v>
      </c>
      <c r="S28" s="45">
        <f t="shared" ref="S28:AD28" si="1">E28/$P$28</f>
        <v>0.0949538795442214</v>
      </c>
      <c r="T28" s="45">
        <f t="shared" si="1"/>
        <v>0.138903960933261</v>
      </c>
      <c r="U28" s="45">
        <f t="shared" si="1"/>
        <v>0.059142702116115</v>
      </c>
      <c r="V28" s="45">
        <f t="shared" si="1"/>
        <v>0.0846446011937059</v>
      </c>
      <c r="W28" s="45">
        <f t="shared" si="1"/>
        <v>-0.00434074877916441</v>
      </c>
      <c r="X28" s="45">
        <f t="shared" si="1"/>
        <v>0.0173629951166576</v>
      </c>
      <c r="Y28" s="45">
        <f t="shared" si="1"/>
        <v>0.116115029842648</v>
      </c>
      <c r="Z28" s="45">
        <f t="shared" si="1"/>
        <v>0.0542593597395551</v>
      </c>
      <c r="AA28" s="45">
        <f t="shared" si="1"/>
        <v>0.0803038524145415</v>
      </c>
      <c r="AB28" s="45">
        <f t="shared" si="1"/>
        <v>0.0971242539338036</v>
      </c>
      <c r="AC28" s="45">
        <f t="shared" si="1"/>
        <v>0.194791101465003</v>
      </c>
      <c r="AD28" s="45">
        <f t="shared" si="1"/>
        <v>1</v>
      </c>
    </row>
  </sheetData>
  <dataValidations count="18">
    <dataValidation allowBlank="1" showInputMessage="1" showErrorMessage="1" prompt="A trend chart for expenses over time is in this column" sqref="C6"/>
    <dataValidation allowBlank="1" showInputMessage="1" showErrorMessage="1" prompt="Company name is automatically updated using the entry from Revenue (Sales) 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Automatically calculates proportion of expenses from different sources to total expenses for the year in this column" sqref="AD5"/>
    <dataValidation allowBlank="1" showInputMessage="1" showErrorMessage="1" prompt="Annual Expense is automatically calculated in this column" sqref="P5"/>
    <dataValidation allowBlank="1" showInputMessage="1" showErrorMessage="1" prompt="The dates in this row are automatically updated based on the starting month of fiscal year. To change starting month, modify cell AC2" sqref="D5"/>
    <dataValidation allowBlank="1" showInputMessage="1" showErrorMessage="1" prompt="Index percent is in this column" sqref="Q5"/>
    <dataValidation allowBlank="1" showInputMessage="1" showErrorMessage="1" prompt="Net profit is automatically calculated for each month &amp; year based on gross profit &amp; total expenses" sqref="B28"/>
    <dataValidation allowBlank="1" showInputMessage="1" showErrorMessage="1" prompt="Automatically calculates proportion of expenses from different sources to total expenses in this column, for the month in this cell" sqref="R5:AC5"/>
    <dataValidation allowBlank="1" showInputMessage="1" showErrorMessage="1" prompt="Enter expenses in this column" sqref="B6"/>
    <dataValidation allowBlank="1" showInputMessage="1" showErrorMessage="1" prompt="Automatically updated title from Revenue (Sales) worksheet. Enter values in the Expenses table below to calculate total expenses" sqref="B3:B4"/>
    <dataValidation allowBlank="1" showInputMessage="1" showErrorMessage="1" prompt="Enter expenses of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This worksheet calculates total expenses for each month &amp; year, &amp; total annual expenses on each item. Net profit is automatically calculated based on gross profit &amp; total expenses " sqref="A$1:A$1048576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type="line" displayEmptyCellsAs="gap" high="1" low="1">
          <x14:colorSeries theme="9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9" tint="-0.499984740745262"/>
          <x14:colorLow theme="9" tint="-0.499984740745262"/>
          <x14:sparklines>
            <x14:sparkline>
              <xm:f>Expenses!D26:O26</xm:f>
              <xm:sqref>C26</xm:sqref>
            </x14:sparkline>
          </x14:sparklines>
        </x14:sparklineGroup>
        <x14:sparklineGroup lineWeight="1" type="line" displayEmptyCellsAs="gap" high="1" low="1">
          <x14:colorSeries theme="9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9" tint="-0.499984740745262"/>
          <x14:colorLow theme="9" tint="-0.499984740745262"/>
          <x14:sparklines>
            <x14:sparkline>
              <xm:f>Expenses!D7:O7</xm:f>
              <xm:sqref>C7</xm:sqref>
            </x14:sparkline>
            <x14:sparkline>
              <xm:f>Expenses!D8:O8</xm:f>
              <xm:sqref>C8</xm:sqref>
            </x14:sparkline>
            <x14:sparkline>
              <xm:f>Expenses!D9:O9</xm:f>
              <xm:sqref>C9</xm:sqref>
            </x14:sparkline>
            <x14:sparkline>
              <xm:f>Expenses!D10:O10</xm:f>
              <xm:sqref>C10</xm:sqref>
            </x14:sparkline>
            <x14:sparkline>
              <xm:f>Expenses!D11:O11</xm:f>
              <xm:sqref>C11</xm:sqref>
            </x14:sparkline>
            <x14:sparkline>
              <xm:f>Expenses!D12:O12</xm:f>
              <xm:sqref>C12</xm:sqref>
            </x14:sparkline>
            <x14:sparkline>
              <xm:f>Expenses!D13:O13</xm:f>
              <xm:sqref>C13</xm:sqref>
            </x14:sparkline>
            <x14:sparkline>
              <xm:f>Expenses!D14:O14</xm:f>
              <xm:sqref>C14</xm:sqref>
            </x14:sparkline>
            <x14:sparkline>
              <xm:f>Expenses!D15:O15</xm:f>
              <xm:sqref>C15</xm:sqref>
            </x14:sparkline>
            <x14:sparkline>
              <xm:f>Expenses!D16:O16</xm:f>
              <xm:sqref>C16</xm:sqref>
            </x14:sparkline>
            <x14:sparkline>
              <xm:f>Expenses!D17:O17</xm:f>
              <xm:sqref>C17</xm:sqref>
            </x14:sparkline>
            <x14:sparkline>
              <xm:f>Expenses!D18:O18</xm:f>
              <xm:sqref>C18</xm:sqref>
            </x14:sparkline>
            <x14:sparkline>
              <xm:f>Expenses!D19:O19</xm:f>
              <xm:sqref>C19</xm:sqref>
            </x14:sparkline>
            <x14:sparkline>
              <xm:f>Expenses!D20:O20</xm:f>
              <xm:sqref>C20</xm:sqref>
            </x14:sparkline>
            <x14:sparkline>
              <xm:f>Expenses!D21:O21</xm:f>
              <xm:sqref>C21</xm:sqref>
            </x14:sparkline>
            <x14:sparkline>
              <xm:f>Expenses!D22:O22</xm:f>
              <xm:sqref>C22</xm:sqref>
            </x14:sparkline>
            <x14:sparkline>
              <xm:f>Expenses!D23:O23</xm:f>
              <xm:sqref>C23</xm:sqref>
            </x14:sparkline>
            <x14:sparkline>
              <xm:f>Expenses!D24:O24</xm:f>
              <xm:sqref>C24</xm:sqref>
            </x14:sparkline>
            <x14:sparkline>
              <xm:f>Expenses!D25:O25</xm:f>
              <xm:sqref>C25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A5D311A-DBDD-403B-9EC7-1F034AAAF6FC}">
  <ds:schemaRefs/>
</ds:datastoreItem>
</file>

<file path=customXml/itemProps2.xml><?xml version="1.0" encoding="utf-8"?>
<ds:datastoreItem xmlns:ds="http://schemas.openxmlformats.org/officeDocument/2006/customXml" ds:itemID="{C82A0B53-1D67-40E7-A6D2-8A4C84AD9278}">
  <ds:schemaRefs/>
</ds:datastoreItem>
</file>

<file path=customXml/itemProps3.xml><?xml version="1.0" encoding="utf-8"?>
<ds:datastoreItem xmlns:ds="http://schemas.openxmlformats.org/officeDocument/2006/customXml" ds:itemID="{67A6D41A-5D7A-44F9-B5C3-FE0BFC7B4F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Revenues (Sales)</vt:lpstr>
      <vt:lpstr>Cost of Sales</vt:lpstr>
      <vt:lpstr>Expenses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2019-06-20T06:32:00Z</dcterms:created>
  <dcterms:modified xsi:type="dcterms:W3CDTF">2021-03-30T13:32:10Z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1033-11.2.0.10078</vt:lpwstr>
  </property>
</Properties>
</file>